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72.16.105.130\งานจัดซื้อจัดจ้าง\จัดซื้อ-จัดจ้าง\ปี 2569\รายงานประจำเดือน\"/>
    </mc:Choice>
  </mc:AlternateContent>
  <xr:revisionPtr revIDLastSave="0" documentId="13_ncr:1_{4B1E0CC8-8CB4-4552-88AD-924637EE5F6A}" xr6:coauthVersionLast="47" xr6:coauthVersionMax="47" xr10:uidLastSave="{00000000-0000-0000-0000-000000000000}"/>
  <bookViews>
    <workbookView xWindow="-120" yWindow="-120" windowWidth="29040" windowHeight="15840" firstSheet="5" activeTab="10" xr2:uid="{0B8EDDAE-0971-4D70-9F53-57460D26C052}"/>
  </bookViews>
  <sheets>
    <sheet name="รวมทุกเดือน งบ68" sheetId="3" r:id="rId1"/>
    <sheet name="smes ต.ค. 68" sheetId="1" r:id="rId2"/>
    <sheet name="แบบ สขร. ต.ค. 68" sheetId="2" r:id="rId3"/>
    <sheet name="smes พ.ย. 68" sheetId="5" r:id="rId4"/>
    <sheet name="แบบ สขร. พ.ย. 68" sheetId="6" r:id="rId5"/>
    <sheet name="smes ธ.ค. 68" sheetId="7" r:id="rId6"/>
    <sheet name="แบบ สขร. ธ.ค. 68 " sheetId="8" r:id="rId7"/>
    <sheet name="smes ม.ค. 69" sheetId="9" r:id="rId8"/>
    <sheet name="แบบ สขร. ม.ค. 69" sheetId="10" r:id="rId9"/>
    <sheet name="smes ก.พ. 69" sheetId="11" r:id="rId10"/>
    <sheet name="แบบ สขร. ก.พ. 69" sheetId="12" r:id="rId11"/>
    <sheet name="รวมทุกเดือน งบ69" sheetId="4" r:id="rId12"/>
  </sheets>
  <externalReferences>
    <externalReference r:id="rId13"/>
  </externalReferences>
  <definedNames>
    <definedName name="_xlnm.Print_Area" localSheetId="9">'smes ก.พ. 69'!$A$1:$AF$85</definedName>
    <definedName name="_xlnm.Print_Area" localSheetId="1">'smes ต.ค. 68'!$A$1:$AF$78</definedName>
    <definedName name="_xlnm.Print_Area" localSheetId="5">'smes ธ.ค. 68'!$A$1:$AF$85</definedName>
    <definedName name="_xlnm.Print_Area" localSheetId="3">'smes พ.ย. 68'!$A$1:$AF$85</definedName>
    <definedName name="_xlnm.Print_Area" localSheetId="7">'smes ม.ค. 69'!$A$1:$AF$85</definedName>
    <definedName name="_xlnm.Print_Area" localSheetId="10">'แบบ สขร. ก.พ. 69'!$A$1:$N$28</definedName>
    <definedName name="_xlnm.Print_Area" localSheetId="2">'แบบ สขร. ต.ค. 68'!$A$1:$N$28</definedName>
    <definedName name="_xlnm.Print_Area" localSheetId="6">'แบบ สขร. ธ.ค. 68 '!$A$15:$N$35</definedName>
    <definedName name="_xlnm.Print_Area" localSheetId="4">'แบบ สขร. พ.ย. 68'!$A$1:$N$24</definedName>
    <definedName name="_xlnm.Print_Area" localSheetId="8">'แบบ สขร. ม.ค. 69'!$A$31:$N$46</definedName>
    <definedName name="_xlnm.Print_Area" localSheetId="0">'รวมทุกเดือน งบ68'!$A$1:$P$463</definedName>
    <definedName name="_xlnm.Print_Area" localSheetId="11">'รวมทุกเดือน งบ69'!$A$1:$P$196</definedName>
    <definedName name="_xlnm.Print_Titles" localSheetId="9">'smes ก.พ. 69'!$7:$7</definedName>
    <definedName name="_xlnm.Print_Titles" localSheetId="1">'smes ต.ค. 68'!$7:$7</definedName>
    <definedName name="_xlnm.Print_Titles" localSheetId="5">'smes ธ.ค. 68'!$7:$7</definedName>
    <definedName name="_xlnm.Print_Titles" localSheetId="3">'smes พ.ย. 68'!$7:$7</definedName>
    <definedName name="_xlnm.Print_Titles" localSheetId="7">'smes ม.ค. 69'!$7:$7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" i="4" l="1"/>
  <c r="T12" i="4"/>
  <c r="S12" i="4"/>
  <c r="I125" i="4"/>
  <c r="N53" i="11"/>
  <c r="AI53" i="11"/>
  <c r="AI47" i="11"/>
  <c r="I28" i="12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K77" i="11"/>
  <c r="G77" i="11"/>
  <c r="E77" i="11"/>
  <c r="D77" i="11"/>
  <c r="D79" i="11" s="1"/>
  <c r="D80" i="11" s="1"/>
  <c r="C77" i="11"/>
  <c r="AE75" i="11"/>
  <c r="AF75" i="11" s="1"/>
  <c r="AD75" i="11"/>
  <c r="AE74" i="11"/>
  <c r="AF74" i="11" s="1"/>
  <c r="AD74" i="11"/>
  <c r="AE73" i="11"/>
  <c r="AD73" i="11"/>
  <c r="AF73" i="11" s="1"/>
  <c r="AF72" i="11"/>
  <c r="AE72" i="11"/>
  <c r="AD72" i="11"/>
  <c r="AF71" i="11"/>
  <c r="AE71" i="11"/>
  <c r="AD71" i="11"/>
  <c r="AF70" i="11"/>
  <c r="AE70" i="11"/>
  <c r="AD70" i="11"/>
  <c r="AE69" i="11"/>
  <c r="AF69" i="11" s="1"/>
  <c r="AD69" i="11"/>
  <c r="AE68" i="11"/>
  <c r="AF68" i="11" s="1"/>
  <c r="AD68" i="11"/>
  <c r="AE67" i="11"/>
  <c r="AF67" i="11" s="1"/>
  <c r="AD67" i="11"/>
  <c r="AE66" i="11"/>
  <c r="AF66" i="11" s="1"/>
  <c r="AD66" i="11"/>
  <c r="AE65" i="11"/>
  <c r="AF65" i="11" s="1"/>
  <c r="AD65" i="11"/>
  <c r="AE64" i="11"/>
  <c r="AF64" i="11" s="1"/>
  <c r="AD64" i="11"/>
  <c r="AE63" i="11"/>
  <c r="AD63" i="11"/>
  <c r="AF63" i="11" s="1"/>
  <c r="AE62" i="11"/>
  <c r="AF62" i="11" s="1"/>
  <c r="AD62" i="11"/>
  <c r="AF61" i="11"/>
  <c r="AE61" i="11"/>
  <c r="AD61" i="11"/>
  <c r="AE60" i="11"/>
  <c r="AF60" i="11" s="1"/>
  <c r="AD60" i="11"/>
  <c r="AE59" i="11"/>
  <c r="AF59" i="11" s="1"/>
  <c r="AD59" i="11"/>
  <c r="AE58" i="11"/>
  <c r="AF58" i="11" s="1"/>
  <c r="AD58" i="11"/>
  <c r="AE57" i="11"/>
  <c r="AD57" i="11"/>
  <c r="AF57" i="11" s="1"/>
  <c r="AF56" i="11"/>
  <c r="AE56" i="11"/>
  <c r="AD56" i="11"/>
  <c r="AF55" i="11"/>
  <c r="AE55" i="11"/>
  <c r="AD55" i="11"/>
  <c r="AF54" i="11"/>
  <c r="AE54" i="11"/>
  <c r="AD54" i="11"/>
  <c r="AE53" i="11"/>
  <c r="AD53" i="11"/>
  <c r="AE52" i="11"/>
  <c r="AD52" i="11"/>
  <c r="AE51" i="11"/>
  <c r="AD51" i="11"/>
  <c r="AE50" i="11"/>
  <c r="AF50" i="11" s="1"/>
  <c r="AD50" i="11"/>
  <c r="AE49" i="11"/>
  <c r="AD49" i="11"/>
  <c r="AE48" i="11"/>
  <c r="AF48" i="11" s="1"/>
  <c r="AD48" i="11"/>
  <c r="L47" i="11"/>
  <c r="AE47" i="11" s="1"/>
  <c r="AI46" i="11"/>
  <c r="L46" i="11" s="1"/>
  <c r="AI45" i="11"/>
  <c r="L45" i="11"/>
  <c r="AE45" i="11" s="1"/>
  <c r="AI44" i="11"/>
  <c r="J44" i="11"/>
  <c r="AE44" i="11" s="1"/>
  <c r="AI43" i="11"/>
  <c r="H43" i="11" s="1"/>
  <c r="AE42" i="11"/>
  <c r="AF42" i="11" s="1"/>
  <c r="AD42" i="11"/>
  <c r="AI41" i="11"/>
  <c r="AE41" i="11"/>
  <c r="I41" i="11"/>
  <c r="AD41" i="11" s="1"/>
  <c r="AF41" i="11" s="1"/>
  <c r="AE40" i="11"/>
  <c r="AF40" i="11" s="1"/>
  <c r="AD40" i="11"/>
  <c r="AI39" i="11"/>
  <c r="F39" i="11" s="1"/>
  <c r="AE38" i="11"/>
  <c r="AF38" i="11" s="1"/>
  <c r="AD38" i="11"/>
  <c r="AF37" i="11"/>
  <c r="AF36" i="11"/>
  <c r="AE36" i="11"/>
  <c r="AD36" i="11"/>
  <c r="AI35" i="11"/>
  <c r="F35" i="11"/>
  <c r="AD35" i="11" s="1"/>
  <c r="AI34" i="11"/>
  <c r="F34" i="11" s="1"/>
  <c r="AI33" i="11"/>
  <c r="AD33" i="11"/>
  <c r="F33" i="11"/>
  <c r="AE33" i="11" s="1"/>
  <c r="AF33" i="11" s="1"/>
  <c r="AE32" i="11"/>
  <c r="AF32" i="11" s="1"/>
  <c r="AD32" i="11"/>
  <c r="AF31" i="11"/>
  <c r="AE30" i="11"/>
  <c r="AF30" i="11" s="1"/>
  <c r="AD30" i="11"/>
  <c r="AF29" i="11"/>
  <c r="AE29" i="11"/>
  <c r="AD29" i="11"/>
  <c r="AE28" i="11"/>
  <c r="AF28" i="11" s="1"/>
  <c r="AD28" i="11"/>
  <c r="AE27" i="11"/>
  <c r="AF27" i="11" s="1"/>
  <c r="AD27" i="11"/>
  <c r="AE26" i="11"/>
  <c r="AF26" i="11" s="1"/>
  <c r="AD26" i="11"/>
  <c r="AE25" i="11"/>
  <c r="AF25" i="11" s="1"/>
  <c r="AD25" i="11"/>
  <c r="AF24" i="11"/>
  <c r="AE24" i="11"/>
  <c r="AD24" i="11"/>
  <c r="AF23" i="11"/>
  <c r="AE23" i="11"/>
  <c r="AD23" i="11"/>
  <c r="AE22" i="11"/>
  <c r="AD22" i="11"/>
  <c r="AF22" i="11" s="1"/>
  <c r="AE21" i="11"/>
  <c r="AF21" i="11" s="1"/>
  <c r="AD21" i="11"/>
  <c r="AE20" i="11"/>
  <c r="AF20" i="11" s="1"/>
  <c r="AD20" i="11"/>
  <c r="AI19" i="11"/>
  <c r="F19" i="11" s="1"/>
  <c r="AI18" i="11"/>
  <c r="F18" i="11"/>
  <c r="AE18" i="11" s="1"/>
  <c r="AI17" i="11"/>
  <c r="F17" i="11"/>
  <c r="AE17" i="11" s="1"/>
  <c r="AF16" i="11"/>
  <c r="AI15" i="11"/>
  <c r="H15" i="11" s="1"/>
  <c r="AE14" i="11"/>
  <c r="AF14" i="11" s="1"/>
  <c r="AD14" i="11"/>
  <c r="AJ13" i="11"/>
  <c r="AI13" i="11"/>
  <c r="L13" i="11" s="1"/>
  <c r="AI12" i="11"/>
  <c r="AE12" i="11"/>
  <c r="AF12" i="11" s="1"/>
  <c r="AD12" i="11"/>
  <c r="J12" i="11"/>
  <c r="AI11" i="11"/>
  <c r="H11" i="11" s="1"/>
  <c r="AL10" i="11"/>
  <c r="AK10" i="11"/>
  <c r="AJ10" i="11"/>
  <c r="AI10" i="11"/>
  <c r="L10" i="11"/>
  <c r="J10" i="11"/>
  <c r="J77" i="11" s="1"/>
  <c r="H10" i="11"/>
  <c r="AE10" i="11" s="1"/>
  <c r="S11" i="4"/>
  <c r="T11" i="4"/>
  <c r="L13" i="9"/>
  <c r="L77" i="9" s="1"/>
  <c r="AJ13" i="9"/>
  <c r="AI13" i="9"/>
  <c r="AI10" i="9"/>
  <c r="L45" i="9"/>
  <c r="AI45" i="9"/>
  <c r="AI44" i="9"/>
  <c r="L46" i="9"/>
  <c r="AI46" i="9"/>
  <c r="L47" i="9"/>
  <c r="AI47" i="9"/>
  <c r="L10" i="9"/>
  <c r="AL10" i="9"/>
  <c r="AK10" i="9"/>
  <c r="I28" i="10"/>
  <c r="I46" i="10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K77" i="9"/>
  <c r="G77" i="9"/>
  <c r="E77" i="9"/>
  <c r="D77" i="9"/>
  <c r="D79" i="9" s="1"/>
  <c r="D80" i="9" s="1"/>
  <c r="C77" i="9"/>
  <c r="AE75" i="9"/>
  <c r="AF75" i="9" s="1"/>
  <c r="AD75" i="9"/>
  <c r="AE74" i="9"/>
  <c r="AF74" i="9" s="1"/>
  <c r="AD74" i="9"/>
  <c r="AE73" i="9"/>
  <c r="AF73" i="9" s="1"/>
  <c r="AD73" i="9"/>
  <c r="AF72" i="9"/>
  <c r="AE72" i="9"/>
  <c r="AD72" i="9"/>
  <c r="AF71" i="9"/>
  <c r="AE71" i="9"/>
  <c r="AD71" i="9"/>
  <c r="AE70" i="9"/>
  <c r="AF70" i="9" s="1"/>
  <c r="AD70" i="9"/>
  <c r="AE69" i="9"/>
  <c r="AF69" i="9" s="1"/>
  <c r="AD69" i="9"/>
  <c r="AE68" i="9"/>
  <c r="AF68" i="9" s="1"/>
  <c r="AD68" i="9"/>
  <c r="AE67" i="9"/>
  <c r="AF67" i="9" s="1"/>
  <c r="AD67" i="9"/>
  <c r="AE66" i="9"/>
  <c r="AF66" i="9" s="1"/>
  <c r="AD66" i="9"/>
  <c r="AE65" i="9"/>
  <c r="AF65" i="9" s="1"/>
  <c r="AD65" i="9"/>
  <c r="AE64" i="9"/>
  <c r="AF64" i="9" s="1"/>
  <c r="AD64" i="9"/>
  <c r="AF63" i="9"/>
  <c r="AE63" i="9"/>
  <c r="AD63" i="9"/>
  <c r="AE62" i="9"/>
  <c r="AF62" i="9" s="1"/>
  <c r="AD62" i="9"/>
  <c r="AF61" i="9"/>
  <c r="AE61" i="9"/>
  <c r="AD61" i="9"/>
  <c r="AE60" i="9"/>
  <c r="AF60" i="9" s="1"/>
  <c r="AD60" i="9"/>
  <c r="AE59" i="9"/>
  <c r="AF59" i="9" s="1"/>
  <c r="AD59" i="9"/>
  <c r="AE58" i="9"/>
  <c r="AF58" i="9" s="1"/>
  <c r="AD58" i="9"/>
  <c r="AF57" i="9"/>
  <c r="AE57" i="9"/>
  <c r="AD57" i="9"/>
  <c r="AE56" i="9"/>
  <c r="AF56" i="9" s="1"/>
  <c r="AD56" i="9"/>
  <c r="AF55" i="9"/>
  <c r="AE55" i="9"/>
  <c r="AD55" i="9"/>
  <c r="AE54" i="9"/>
  <c r="AF54" i="9" s="1"/>
  <c r="AD54" i="9"/>
  <c r="AE53" i="9"/>
  <c r="AF53" i="9" s="1"/>
  <c r="AD53" i="9"/>
  <c r="AE52" i="9"/>
  <c r="AF52" i="9" s="1"/>
  <c r="AD52" i="9"/>
  <c r="AE51" i="9"/>
  <c r="AF51" i="9" s="1"/>
  <c r="AD51" i="9"/>
  <c r="AE50" i="9"/>
  <c r="AF50" i="9" s="1"/>
  <c r="AD50" i="9"/>
  <c r="AE49" i="9"/>
  <c r="AF49" i="9" s="1"/>
  <c r="AD49" i="9"/>
  <c r="AE48" i="9"/>
  <c r="AD48" i="9"/>
  <c r="AE47" i="9"/>
  <c r="AD47" i="9"/>
  <c r="AF47" i="9" s="1"/>
  <c r="AE46" i="9"/>
  <c r="AD46" i="9"/>
  <c r="AE45" i="9"/>
  <c r="AD45" i="9"/>
  <c r="AF45" i="9" s="1"/>
  <c r="J44" i="9"/>
  <c r="AD44" i="9" s="1"/>
  <c r="AI43" i="9"/>
  <c r="H43" i="9"/>
  <c r="AE43" i="9" s="1"/>
  <c r="AE42" i="9"/>
  <c r="AD42" i="9"/>
  <c r="AF42" i="9" s="1"/>
  <c r="AI41" i="9"/>
  <c r="I41" i="9" s="1"/>
  <c r="AE41" i="9"/>
  <c r="AE40" i="9"/>
  <c r="AF40" i="9" s="1"/>
  <c r="AD40" i="9"/>
  <c r="AI39" i="9"/>
  <c r="F39" i="9"/>
  <c r="AE39" i="9" s="1"/>
  <c r="AE38" i="9"/>
  <c r="AD38" i="9"/>
  <c r="AF38" i="9" s="1"/>
  <c r="AF37" i="9"/>
  <c r="AE36" i="9"/>
  <c r="AF36" i="9" s="1"/>
  <c r="AD36" i="9"/>
  <c r="AI35" i="9"/>
  <c r="F35" i="9"/>
  <c r="AE35" i="9" s="1"/>
  <c r="AI34" i="9"/>
  <c r="F34" i="9" s="1"/>
  <c r="AI33" i="9"/>
  <c r="F33" i="9"/>
  <c r="AE33" i="9" s="1"/>
  <c r="AE32" i="9"/>
  <c r="AF32" i="9" s="1"/>
  <c r="AD32" i="9"/>
  <c r="AF31" i="9"/>
  <c r="AE30" i="9"/>
  <c r="AF30" i="9" s="1"/>
  <c r="AD30" i="9"/>
  <c r="AE29" i="9"/>
  <c r="AD29" i="9"/>
  <c r="AF29" i="9" s="1"/>
  <c r="AE28" i="9"/>
  <c r="AD28" i="9"/>
  <c r="AF28" i="9" s="1"/>
  <c r="AE27" i="9"/>
  <c r="AD27" i="9"/>
  <c r="AF27" i="9" s="1"/>
  <c r="AE26" i="9"/>
  <c r="AF26" i="9" s="1"/>
  <c r="AD26" i="9"/>
  <c r="AE25" i="9"/>
  <c r="AF25" i="9" s="1"/>
  <c r="AD25" i="9"/>
  <c r="AE24" i="9"/>
  <c r="AF24" i="9" s="1"/>
  <c r="AD24" i="9"/>
  <c r="AF23" i="9"/>
  <c r="AE23" i="9"/>
  <c r="AD23" i="9"/>
  <c r="AE22" i="9"/>
  <c r="AF22" i="9" s="1"/>
  <c r="AD22" i="9"/>
  <c r="AF21" i="9"/>
  <c r="AE21" i="9"/>
  <c r="AD21" i="9"/>
  <c r="AE20" i="9"/>
  <c r="AF20" i="9" s="1"/>
  <c r="AD20" i="9"/>
  <c r="AI19" i="9"/>
  <c r="F19" i="9"/>
  <c r="AE19" i="9" s="1"/>
  <c r="AI18" i="9"/>
  <c r="F18" i="9" s="1"/>
  <c r="AI17" i="9"/>
  <c r="F17" i="9" s="1"/>
  <c r="AF16" i="9"/>
  <c r="AI15" i="9"/>
  <c r="H15" i="9"/>
  <c r="AE15" i="9" s="1"/>
  <c r="AE14" i="9"/>
  <c r="AD14" i="9"/>
  <c r="AF14" i="9" s="1"/>
  <c r="AE13" i="9"/>
  <c r="AD13" i="9"/>
  <c r="AI12" i="9"/>
  <c r="J12" i="9"/>
  <c r="AD12" i="9" s="1"/>
  <c r="AI11" i="9"/>
  <c r="H11" i="9"/>
  <c r="AE11" i="9" s="1"/>
  <c r="J10" i="9"/>
  <c r="J77" i="9" s="1"/>
  <c r="AJ10" i="9"/>
  <c r="H10" i="9"/>
  <c r="T10" i="4"/>
  <c r="S10" i="4"/>
  <c r="J10" i="7"/>
  <c r="AK10" i="7"/>
  <c r="J12" i="7"/>
  <c r="AI12" i="7"/>
  <c r="AI11" i="7"/>
  <c r="J44" i="7"/>
  <c r="AI44" i="7"/>
  <c r="AI43" i="7"/>
  <c r="I35" i="8"/>
  <c r="I12" i="8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G77" i="7"/>
  <c r="E77" i="7"/>
  <c r="D77" i="7"/>
  <c r="D79" i="7" s="1"/>
  <c r="D80" i="7" s="1"/>
  <c r="C77" i="7"/>
  <c r="AE75" i="7"/>
  <c r="AF75" i="7" s="1"/>
  <c r="AD75" i="7"/>
  <c r="AE74" i="7"/>
  <c r="AD74" i="7"/>
  <c r="AF74" i="7" s="1"/>
  <c r="AE73" i="7"/>
  <c r="AD73" i="7"/>
  <c r="AF73" i="7" s="1"/>
  <c r="AE72" i="7"/>
  <c r="AD72" i="7"/>
  <c r="AF72" i="7" s="1"/>
  <c r="AF71" i="7"/>
  <c r="AE71" i="7"/>
  <c r="AD71" i="7"/>
  <c r="AF70" i="7"/>
  <c r="AE70" i="7"/>
  <c r="AD70" i="7"/>
  <c r="AE69" i="7"/>
  <c r="AF69" i="7" s="1"/>
  <c r="AD69" i="7"/>
  <c r="AE68" i="7"/>
  <c r="AF68" i="7" s="1"/>
  <c r="AD68" i="7"/>
  <c r="AE67" i="7"/>
  <c r="AF67" i="7" s="1"/>
  <c r="AD67" i="7"/>
  <c r="AE66" i="7"/>
  <c r="AF66" i="7" s="1"/>
  <c r="AD66" i="7"/>
  <c r="AE65" i="7"/>
  <c r="AF65" i="7" s="1"/>
  <c r="AD65" i="7"/>
  <c r="AE64" i="7"/>
  <c r="AF64" i="7" s="1"/>
  <c r="AD64" i="7"/>
  <c r="AE63" i="7"/>
  <c r="AF63" i="7" s="1"/>
  <c r="AD63" i="7"/>
  <c r="AE62" i="7"/>
  <c r="AF62" i="7" s="1"/>
  <c r="AD62" i="7"/>
  <c r="AE61" i="7"/>
  <c r="AF61" i="7" s="1"/>
  <c r="AD61" i="7"/>
  <c r="AE60" i="7"/>
  <c r="AF60" i="7" s="1"/>
  <c r="AD60" i="7"/>
  <c r="AE59" i="7"/>
  <c r="AF59" i="7" s="1"/>
  <c r="AD59" i="7"/>
  <c r="AE58" i="7"/>
  <c r="AD58" i="7"/>
  <c r="AF58" i="7" s="1"/>
  <c r="AE57" i="7"/>
  <c r="AD57" i="7"/>
  <c r="AF57" i="7" s="1"/>
  <c r="AE56" i="7"/>
  <c r="AF56" i="7" s="1"/>
  <c r="AD56" i="7"/>
  <c r="AF55" i="7"/>
  <c r="AE55" i="7"/>
  <c r="AD55" i="7"/>
  <c r="AF54" i="7"/>
  <c r="AE54" i="7"/>
  <c r="AD54" i="7"/>
  <c r="AE53" i="7"/>
  <c r="AF53" i="7" s="1"/>
  <c r="AD53" i="7"/>
  <c r="AE52" i="7"/>
  <c r="AF52" i="7" s="1"/>
  <c r="AD52" i="7"/>
  <c r="AE51" i="7"/>
  <c r="AF51" i="7" s="1"/>
  <c r="AD51" i="7"/>
  <c r="AE50" i="7"/>
  <c r="AF50" i="7" s="1"/>
  <c r="AD50" i="7"/>
  <c r="AE49" i="7"/>
  <c r="AF49" i="7" s="1"/>
  <c r="AD49" i="7"/>
  <c r="AE48" i="7"/>
  <c r="AF48" i="7" s="1"/>
  <c r="AD48" i="7"/>
  <c r="AE47" i="7"/>
  <c r="AF47" i="7" s="1"/>
  <c r="AD47" i="7"/>
  <c r="AE46" i="7"/>
  <c r="AF46" i="7" s="1"/>
  <c r="AD46" i="7"/>
  <c r="AE45" i="7"/>
  <c r="AF45" i="7" s="1"/>
  <c r="AD45" i="7"/>
  <c r="AE44" i="7"/>
  <c r="AD44" i="7"/>
  <c r="AD43" i="7"/>
  <c r="H43" i="7"/>
  <c r="AE43" i="7" s="1"/>
  <c r="AF43" i="7" s="1"/>
  <c r="AE42" i="7"/>
  <c r="AF42" i="7" s="1"/>
  <c r="AD42" i="7"/>
  <c r="AI41" i="7"/>
  <c r="AE41" i="7"/>
  <c r="I41" i="7"/>
  <c r="I77" i="7" s="1"/>
  <c r="AE40" i="7"/>
  <c r="AF40" i="7" s="1"/>
  <c r="AD40" i="7"/>
  <c r="AI39" i="7"/>
  <c r="AD39" i="7"/>
  <c r="F39" i="7"/>
  <c r="AE39" i="7" s="1"/>
  <c r="AF39" i="7" s="1"/>
  <c r="AE38" i="7"/>
  <c r="AF38" i="7" s="1"/>
  <c r="AD38" i="7"/>
  <c r="AF37" i="7"/>
  <c r="AE36" i="7"/>
  <c r="AF36" i="7" s="1"/>
  <c r="AD36" i="7"/>
  <c r="AI35" i="7"/>
  <c r="F35" i="7" s="1"/>
  <c r="AI34" i="7"/>
  <c r="F34" i="7"/>
  <c r="AE34" i="7" s="1"/>
  <c r="AI33" i="7"/>
  <c r="F33" i="7"/>
  <c r="AE33" i="7" s="1"/>
  <c r="AE32" i="7"/>
  <c r="AF32" i="7" s="1"/>
  <c r="AD32" i="7"/>
  <c r="AF31" i="7"/>
  <c r="AF30" i="7"/>
  <c r="AE30" i="7"/>
  <c r="AD30" i="7"/>
  <c r="AE29" i="7"/>
  <c r="AF29" i="7" s="1"/>
  <c r="AD29" i="7"/>
  <c r="AE28" i="7"/>
  <c r="AF28" i="7" s="1"/>
  <c r="AD28" i="7"/>
  <c r="AE27" i="7"/>
  <c r="AF27" i="7" s="1"/>
  <c r="AD27" i="7"/>
  <c r="AE26" i="7"/>
  <c r="AF26" i="7" s="1"/>
  <c r="AD26" i="7"/>
  <c r="AE25" i="7"/>
  <c r="AF25" i="7" s="1"/>
  <c r="AD25" i="7"/>
  <c r="AE24" i="7"/>
  <c r="AF24" i="7" s="1"/>
  <c r="AD24" i="7"/>
  <c r="AE23" i="7"/>
  <c r="AF23" i="7" s="1"/>
  <c r="AD23" i="7"/>
  <c r="AE22" i="7"/>
  <c r="AF22" i="7" s="1"/>
  <c r="AD22" i="7"/>
  <c r="AE21" i="7"/>
  <c r="AF21" i="7" s="1"/>
  <c r="AD21" i="7"/>
  <c r="AE20" i="7"/>
  <c r="AF20" i="7" s="1"/>
  <c r="AD20" i="7"/>
  <c r="AI19" i="7"/>
  <c r="AD19" i="7"/>
  <c r="F19" i="7"/>
  <c r="AE19" i="7" s="1"/>
  <c r="AF19" i="7" s="1"/>
  <c r="AI18" i="7"/>
  <c r="F18" i="7"/>
  <c r="AD18" i="7" s="1"/>
  <c r="AI17" i="7"/>
  <c r="F17" i="7" s="1"/>
  <c r="AF16" i="7"/>
  <c r="AI15" i="7"/>
  <c r="AD15" i="7"/>
  <c r="H15" i="7"/>
  <c r="AE15" i="7" s="1"/>
  <c r="AF15" i="7" s="1"/>
  <c r="AE14" i="7"/>
  <c r="AF14" i="7" s="1"/>
  <c r="AD14" i="7"/>
  <c r="AE13" i="7"/>
  <c r="AF13" i="7" s="1"/>
  <c r="AD13" i="7"/>
  <c r="AE12" i="7"/>
  <c r="AD12" i="7"/>
  <c r="H11" i="7"/>
  <c r="AJ10" i="7"/>
  <c r="AI10" i="7"/>
  <c r="H10" i="7"/>
  <c r="T9" i="4"/>
  <c r="S9" i="4"/>
  <c r="H43" i="5"/>
  <c r="AI43" i="5"/>
  <c r="AI41" i="5"/>
  <c r="I41" i="5"/>
  <c r="AI39" i="5"/>
  <c r="AD45" i="5"/>
  <c r="AF45" i="5" s="1"/>
  <c r="AD46" i="5"/>
  <c r="AD47" i="5"/>
  <c r="AD48" i="5"/>
  <c r="AD49" i="5"/>
  <c r="AD50" i="5"/>
  <c r="AF50" i="5" s="1"/>
  <c r="AD51" i="5"/>
  <c r="AD52" i="5"/>
  <c r="AD53" i="5"/>
  <c r="AF53" i="5" s="1"/>
  <c r="AD54" i="5"/>
  <c r="AD55" i="5"/>
  <c r="AD56" i="5"/>
  <c r="AD57" i="5"/>
  <c r="AF57" i="5" s="1"/>
  <c r="AD58" i="5"/>
  <c r="AD59" i="5"/>
  <c r="AD60" i="5"/>
  <c r="AD61" i="5"/>
  <c r="AF61" i="5" s="1"/>
  <c r="AD62" i="5"/>
  <c r="AE45" i="5"/>
  <c r="AE46" i="5"/>
  <c r="AE47" i="5"/>
  <c r="AE48" i="5"/>
  <c r="AE49" i="5"/>
  <c r="AE50" i="5"/>
  <c r="AE51" i="5"/>
  <c r="AF51" i="5" s="1"/>
  <c r="AE52" i="5"/>
  <c r="AE53" i="5"/>
  <c r="AE54" i="5"/>
  <c r="AE55" i="5"/>
  <c r="AE56" i="5"/>
  <c r="AE57" i="5"/>
  <c r="AE58" i="5"/>
  <c r="AE59" i="5"/>
  <c r="AF59" i="5" s="1"/>
  <c r="AE60" i="5"/>
  <c r="AE61" i="5"/>
  <c r="AE62" i="5"/>
  <c r="AF46" i="5"/>
  <c r="AF47" i="5"/>
  <c r="AF48" i="5"/>
  <c r="AF49" i="5"/>
  <c r="AF52" i="5"/>
  <c r="AF54" i="5"/>
  <c r="AF55" i="5"/>
  <c r="AF56" i="5"/>
  <c r="AF58" i="5"/>
  <c r="AF62" i="5"/>
  <c r="AF63" i="5"/>
  <c r="AF64" i="5"/>
  <c r="AI15" i="5"/>
  <c r="H15" i="5" s="1"/>
  <c r="AI11" i="5"/>
  <c r="H11" i="5" s="1"/>
  <c r="AJ10" i="5"/>
  <c r="AI10" i="5"/>
  <c r="H10" i="5" s="1"/>
  <c r="AI17" i="5"/>
  <c r="I42" i="6"/>
  <c r="I24" i="6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E77" i="5"/>
  <c r="D77" i="5"/>
  <c r="D79" i="5" s="1"/>
  <c r="D80" i="5" s="1"/>
  <c r="C77" i="5"/>
  <c r="AE75" i="5"/>
  <c r="AF75" i="5" s="1"/>
  <c r="AD75" i="5"/>
  <c r="AE74" i="5"/>
  <c r="AD74" i="5"/>
  <c r="AE73" i="5"/>
  <c r="AD73" i="5"/>
  <c r="AE72" i="5"/>
  <c r="AD72" i="5"/>
  <c r="AE71" i="5"/>
  <c r="AF71" i="5" s="1"/>
  <c r="AD71" i="5"/>
  <c r="AE70" i="5"/>
  <c r="AF70" i="5" s="1"/>
  <c r="AD70" i="5"/>
  <c r="AE69" i="5"/>
  <c r="AD69" i="5"/>
  <c r="AE68" i="5"/>
  <c r="AD68" i="5"/>
  <c r="AE67" i="5"/>
  <c r="AD67" i="5"/>
  <c r="AE66" i="5"/>
  <c r="AD66" i="5"/>
  <c r="AE65" i="5"/>
  <c r="AD65" i="5"/>
  <c r="AF65" i="5" s="1"/>
  <c r="AE64" i="5"/>
  <c r="AD64" i="5"/>
  <c r="AE63" i="5"/>
  <c r="AD63" i="5"/>
  <c r="AE44" i="5"/>
  <c r="AF44" i="5" s="1"/>
  <c r="AD44" i="5"/>
  <c r="AE43" i="5"/>
  <c r="AD43" i="5"/>
  <c r="AE42" i="5"/>
  <c r="AD42" i="5"/>
  <c r="AF42" i="5" s="1"/>
  <c r="AE41" i="5"/>
  <c r="AD41" i="5"/>
  <c r="AE40" i="5"/>
  <c r="AD40" i="5"/>
  <c r="F39" i="5"/>
  <c r="AE39" i="5" s="1"/>
  <c r="AE38" i="5"/>
  <c r="AF38" i="5" s="1"/>
  <c r="AD38" i="5"/>
  <c r="AF37" i="5"/>
  <c r="AE36" i="5"/>
  <c r="AF36" i="5" s="1"/>
  <c r="AD36" i="5"/>
  <c r="AI35" i="5"/>
  <c r="F35" i="5"/>
  <c r="AE35" i="5" s="1"/>
  <c r="AI34" i="5"/>
  <c r="F34" i="5"/>
  <c r="AD34" i="5" s="1"/>
  <c r="AI33" i="5"/>
  <c r="F33" i="5" s="1"/>
  <c r="AE32" i="5"/>
  <c r="AF32" i="5" s="1"/>
  <c r="AD32" i="5"/>
  <c r="AF31" i="5"/>
  <c r="AE30" i="5"/>
  <c r="AD30" i="5"/>
  <c r="AE29" i="5"/>
  <c r="AD29" i="5"/>
  <c r="AE28" i="5"/>
  <c r="AF28" i="5" s="1"/>
  <c r="AD28" i="5"/>
  <c r="AE27" i="5"/>
  <c r="AD27" i="5"/>
  <c r="AE26" i="5"/>
  <c r="AD26" i="5"/>
  <c r="AE25" i="5"/>
  <c r="AF25" i="5" s="1"/>
  <c r="AD25" i="5"/>
  <c r="AE24" i="5"/>
  <c r="AF24" i="5" s="1"/>
  <c r="AD24" i="5"/>
  <c r="AE23" i="5"/>
  <c r="AD23" i="5"/>
  <c r="AE22" i="5"/>
  <c r="AD22" i="5"/>
  <c r="AF22" i="5" s="1"/>
  <c r="AE21" i="5"/>
  <c r="AD21" i="5"/>
  <c r="AE20" i="5"/>
  <c r="AD20" i="5"/>
  <c r="AI19" i="5"/>
  <c r="F19" i="5"/>
  <c r="AE19" i="5" s="1"/>
  <c r="AI18" i="5"/>
  <c r="F18" i="5" s="1"/>
  <c r="F17" i="5"/>
  <c r="AE17" i="5" s="1"/>
  <c r="AF16" i="5"/>
  <c r="AE14" i="5"/>
  <c r="AD14" i="5"/>
  <c r="AE13" i="5"/>
  <c r="AD13" i="5"/>
  <c r="AE12" i="5"/>
  <c r="AD12" i="5"/>
  <c r="T8" i="4"/>
  <c r="S8" i="4"/>
  <c r="F19" i="1"/>
  <c r="AI19" i="1"/>
  <c r="F18" i="1"/>
  <c r="AD18" i="1" s="1"/>
  <c r="AI18" i="1"/>
  <c r="F17" i="1"/>
  <c r="AI17" i="1"/>
  <c r="F39" i="1"/>
  <c r="AI39" i="1"/>
  <c r="AI35" i="1"/>
  <c r="AD40" i="1"/>
  <c r="AE40" i="1"/>
  <c r="AF40" i="1" s="1"/>
  <c r="AI33" i="1"/>
  <c r="F33" i="1" s="1"/>
  <c r="F35" i="1"/>
  <c r="F34" i="1"/>
  <c r="AE34" i="1" s="1"/>
  <c r="AI34" i="1"/>
  <c r="I46" i="2"/>
  <c r="I28" i="2"/>
  <c r="I317" i="3"/>
  <c r="T67" i="3"/>
  <c r="S67" i="3"/>
  <c r="T66" i="3"/>
  <c r="S66" i="3"/>
  <c r="T65" i="3"/>
  <c r="S65" i="3"/>
  <c r="T64" i="3"/>
  <c r="S64" i="3"/>
  <c r="T63" i="3"/>
  <c r="S63" i="3"/>
  <c r="T62" i="3"/>
  <c r="S62" i="3"/>
  <c r="T61" i="3"/>
  <c r="S61" i="3"/>
  <c r="T60" i="3"/>
  <c r="S60" i="3"/>
  <c r="T59" i="3"/>
  <c r="S59" i="3"/>
  <c r="T58" i="3"/>
  <c r="S58" i="3"/>
  <c r="T57" i="3"/>
  <c r="S57" i="3"/>
  <c r="T56" i="3"/>
  <c r="S56" i="3"/>
  <c r="AC70" i="1"/>
  <c r="Y70" i="1"/>
  <c r="W70" i="1"/>
  <c r="U70" i="1"/>
  <c r="S70" i="1"/>
  <c r="Q70" i="1"/>
  <c r="O70" i="1"/>
  <c r="M70" i="1"/>
  <c r="K70" i="1"/>
  <c r="I70" i="1"/>
  <c r="E70" i="1"/>
  <c r="AE68" i="1"/>
  <c r="AD68" i="1"/>
  <c r="AF68" i="1" s="1"/>
  <c r="AE67" i="1"/>
  <c r="AF67" i="1" s="1"/>
  <c r="AD67" i="1"/>
  <c r="AE66" i="1"/>
  <c r="AF66" i="1" s="1"/>
  <c r="AD66" i="1"/>
  <c r="AE65" i="1"/>
  <c r="AD65" i="1"/>
  <c r="AE64" i="1"/>
  <c r="AF64" i="1" s="1"/>
  <c r="AD64" i="1"/>
  <c r="AE63" i="1"/>
  <c r="AF63" i="1" s="1"/>
  <c r="AD63" i="1"/>
  <c r="AE62" i="1"/>
  <c r="AF62" i="1" s="1"/>
  <c r="AD62" i="1"/>
  <c r="AE61" i="1"/>
  <c r="AD61" i="1"/>
  <c r="AE60" i="1"/>
  <c r="AD60" i="1"/>
  <c r="AF60" i="1" s="1"/>
  <c r="AE59" i="1"/>
  <c r="AD59" i="1"/>
  <c r="AE57" i="1"/>
  <c r="AD56" i="1"/>
  <c r="AE55" i="1"/>
  <c r="AD55" i="1"/>
  <c r="AD53" i="1"/>
  <c r="AE51" i="1"/>
  <c r="AD51" i="1"/>
  <c r="AE48" i="1"/>
  <c r="AD48" i="1"/>
  <c r="AE47" i="1"/>
  <c r="AE42" i="1"/>
  <c r="AE41" i="1"/>
  <c r="AE39" i="1"/>
  <c r="AF37" i="1"/>
  <c r="AE36" i="1"/>
  <c r="C70" i="1"/>
  <c r="AF32" i="1"/>
  <c r="AE32" i="1"/>
  <c r="AD32" i="1"/>
  <c r="AF31" i="1"/>
  <c r="AE30" i="1"/>
  <c r="AD30" i="1"/>
  <c r="AE29" i="1"/>
  <c r="AD29" i="1"/>
  <c r="AE28" i="1"/>
  <c r="AD28" i="1"/>
  <c r="AE27" i="1"/>
  <c r="AF27" i="1" s="1"/>
  <c r="AD27" i="1"/>
  <c r="AE26" i="1"/>
  <c r="D70" i="1"/>
  <c r="D72" i="1" s="1"/>
  <c r="D73" i="1" s="1"/>
  <c r="AD23" i="1"/>
  <c r="AE23" i="1"/>
  <c r="AE20" i="1"/>
  <c r="AE19" i="1"/>
  <c r="AE17" i="1"/>
  <c r="AF16" i="1"/>
  <c r="AI15" i="1"/>
  <c r="AE15" i="1"/>
  <c r="AD15" i="1"/>
  <c r="AE14" i="1"/>
  <c r="AD14" i="1"/>
  <c r="AK13" i="1"/>
  <c r="AJ13" i="1"/>
  <c r="AI13" i="1"/>
  <c r="AE13" i="1"/>
  <c r="AJ12" i="1"/>
  <c r="AI12" i="1"/>
  <c r="AI11" i="1"/>
  <c r="AE11" i="1"/>
  <c r="BH10" i="1"/>
  <c r="BG10" i="1"/>
  <c r="BF10" i="1"/>
  <c r="BE10" i="1"/>
  <c r="BD10" i="1"/>
  <c r="BC10" i="1"/>
  <c r="V70" i="1" s="1"/>
  <c r="BB10" i="1"/>
  <c r="BA10" i="1"/>
  <c r="AZ10" i="1"/>
  <c r="R70" i="1" s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J70" i="1" s="1"/>
  <c r="AK10" i="1"/>
  <c r="AJ10" i="1"/>
  <c r="AI10" i="1"/>
  <c r="X70" i="1"/>
  <c r="T70" i="1"/>
  <c r="AF53" i="11" l="1"/>
  <c r="AF52" i="11"/>
  <c r="AF51" i="11"/>
  <c r="AF49" i="11"/>
  <c r="AE19" i="11"/>
  <c r="AD19" i="11"/>
  <c r="AE34" i="11"/>
  <c r="AD34" i="11"/>
  <c r="AE11" i="11"/>
  <c r="AD11" i="11"/>
  <c r="AF45" i="11"/>
  <c r="AE39" i="11"/>
  <c r="AD39" i="11"/>
  <c r="AE46" i="11"/>
  <c r="AF46" i="11" s="1"/>
  <c r="AD46" i="11"/>
  <c r="AE15" i="11"/>
  <c r="AE77" i="11" s="1"/>
  <c r="AD15" i="11"/>
  <c r="AE13" i="11"/>
  <c r="AD13" i="11"/>
  <c r="AE43" i="11"/>
  <c r="AD43" i="11"/>
  <c r="L77" i="11"/>
  <c r="F77" i="11"/>
  <c r="H77" i="11"/>
  <c r="I77" i="11"/>
  <c r="AD47" i="11"/>
  <c r="AF47" i="11" s="1"/>
  <c r="AD10" i="11"/>
  <c r="AF10" i="11" s="1"/>
  <c r="AE35" i="11"/>
  <c r="AF35" i="11" s="1"/>
  <c r="AD44" i="11"/>
  <c r="AF44" i="11" s="1"/>
  <c r="AD17" i="11"/>
  <c r="AF17" i="11" s="1"/>
  <c r="AD45" i="11"/>
  <c r="AD18" i="11"/>
  <c r="AF18" i="11" s="1"/>
  <c r="AF13" i="9"/>
  <c r="AF46" i="9"/>
  <c r="AF48" i="9"/>
  <c r="AD18" i="9"/>
  <c r="AE18" i="9"/>
  <c r="AF18" i="9" s="1"/>
  <c r="AF15" i="9"/>
  <c r="AE17" i="9"/>
  <c r="AD17" i="9"/>
  <c r="F77" i="9"/>
  <c r="AD41" i="9"/>
  <c r="AF41" i="9" s="1"/>
  <c r="I77" i="9"/>
  <c r="AD34" i="9"/>
  <c r="AE34" i="9"/>
  <c r="AF34" i="9" s="1"/>
  <c r="AD10" i="9"/>
  <c r="H77" i="9"/>
  <c r="AE10" i="9"/>
  <c r="AD33" i="9"/>
  <c r="AF33" i="9" s="1"/>
  <c r="AD11" i="9"/>
  <c r="AF11" i="9" s="1"/>
  <c r="AD15" i="9"/>
  <c r="AD19" i="9"/>
  <c r="AF19" i="9" s="1"/>
  <c r="AD39" i="9"/>
  <c r="AF39" i="9" s="1"/>
  <c r="AD43" i="9"/>
  <c r="AF43" i="9" s="1"/>
  <c r="AD35" i="9"/>
  <c r="AF35" i="9" s="1"/>
  <c r="AE12" i="9"/>
  <c r="AF12" i="9" s="1"/>
  <c r="AE44" i="9"/>
  <c r="AF44" i="9" s="1"/>
  <c r="S20" i="4"/>
  <c r="J77" i="7"/>
  <c r="AE10" i="7"/>
  <c r="AE77" i="7" s="1"/>
  <c r="AF12" i="7"/>
  <c r="AF44" i="7"/>
  <c r="AE11" i="7"/>
  <c r="AD11" i="7"/>
  <c r="H77" i="7"/>
  <c r="AE35" i="7"/>
  <c r="AD35" i="7"/>
  <c r="AD17" i="7"/>
  <c r="AE17" i="7"/>
  <c r="AF17" i="7" s="1"/>
  <c r="F77" i="7"/>
  <c r="AF34" i="7"/>
  <c r="AD41" i="7"/>
  <c r="AF41" i="7" s="1"/>
  <c r="AD33" i="7"/>
  <c r="AF33" i="7" s="1"/>
  <c r="AD10" i="7"/>
  <c r="AD77" i="7" s="1"/>
  <c r="AE18" i="7"/>
  <c r="AF18" i="7" s="1"/>
  <c r="AD34" i="7"/>
  <c r="T20" i="4"/>
  <c r="U8" i="4"/>
  <c r="U9" i="4" s="1"/>
  <c r="U10" i="4" s="1"/>
  <c r="U11" i="4" s="1"/>
  <c r="AF41" i="5"/>
  <c r="AF60" i="5"/>
  <c r="AE10" i="5"/>
  <c r="H77" i="5"/>
  <c r="AD10" i="5"/>
  <c r="AE11" i="5"/>
  <c r="AD11" i="5"/>
  <c r="AF11" i="5" s="1"/>
  <c r="AE15" i="5"/>
  <c r="AF15" i="5" s="1"/>
  <c r="AD15" i="5"/>
  <c r="AF72" i="5"/>
  <c r="AF26" i="5"/>
  <c r="AF73" i="5"/>
  <c r="AF74" i="5"/>
  <c r="AF30" i="5"/>
  <c r="AF68" i="5"/>
  <c r="AF27" i="5"/>
  <c r="AF43" i="5"/>
  <c r="AF20" i="5"/>
  <c r="AF66" i="5"/>
  <c r="AF21" i="5"/>
  <c r="AF29" i="5"/>
  <c r="AF67" i="5"/>
  <c r="AF13" i="5"/>
  <c r="AF14" i="5"/>
  <c r="AF69" i="5"/>
  <c r="AF40" i="5"/>
  <c r="AF12" i="5"/>
  <c r="AF23" i="5"/>
  <c r="AE33" i="5"/>
  <c r="AD33" i="5"/>
  <c r="AE18" i="5"/>
  <c r="AD18" i="5"/>
  <c r="F77" i="5"/>
  <c r="AD39" i="5"/>
  <c r="AF39" i="5" s="1"/>
  <c r="AD19" i="5"/>
  <c r="AF19" i="5" s="1"/>
  <c r="AE34" i="5"/>
  <c r="AF34" i="5" s="1"/>
  <c r="AD17" i="5"/>
  <c r="AF17" i="5" s="1"/>
  <c r="AD35" i="5"/>
  <c r="AF35" i="5" s="1"/>
  <c r="T68" i="3"/>
  <c r="S68" i="3"/>
  <c r="S317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U67" i="3" s="1"/>
  <c r="AE18" i="1"/>
  <c r="AF18" i="1" s="1"/>
  <c r="AF61" i="1"/>
  <c r="AF15" i="1"/>
  <c r="AF29" i="1"/>
  <c r="AF51" i="1"/>
  <c r="AF65" i="1"/>
  <c r="AF30" i="1"/>
  <c r="AF59" i="1"/>
  <c r="AF55" i="1"/>
  <c r="AF28" i="1"/>
  <c r="AF23" i="1"/>
  <c r="AF14" i="1"/>
  <c r="AE44" i="1"/>
  <c r="AD44" i="1"/>
  <c r="AD52" i="1"/>
  <c r="AE52" i="1"/>
  <c r="AF52" i="1" s="1"/>
  <c r="AE45" i="1"/>
  <c r="AD45" i="1"/>
  <c r="AD46" i="1"/>
  <c r="AE46" i="1"/>
  <c r="AF46" i="1" s="1"/>
  <c r="AE21" i="1"/>
  <c r="AD21" i="1"/>
  <c r="AE43" i="1"/>
  <c r="AD43" i="1"/>
  <c r="AB70" i="1"/>
  <c r="AE58" i="1"/>
  <c r="AD58" i="1"/>
  <c r="AF48" i="1"/>
  <c r="AE49" i="1"/>
  <c r="AD49" i="1"/>
  <c r="AE24" i="1"/>
  <c r="AD24" i="1"/>
  <c r="Z70" i="1"/>
  <c r="AD33" i="1"/>
  <c r="AE33" i="1"/>
  <c r="P70" i="1"/>
  <c r="L70" i="1"/>
  <c r="AE12" i="1"/>
  <c r="AD12" i="1"/>
  <c r="AD17" i="1"/>
  <c r="AF17" i="1" s="1"/>
  <c r="G70" i="1"/>
  <c r="AD35" i="1"/>
  <c r="AE35" i="1"/>
  <c r="AE54" i="1"/>
  <c r="AD54" i="1"/>
  <c r="AE22" i="1"/>
  <c r="AD22" i="1"/>
  <c r="AE38" i="1"/>
  <c r="AD38" i="1"/>
  <c r="N70" i="1"/>
  <c r="AE25" i="1"/>
  <c r="AD25" i="1"/>
  <c r="H70" i="1"/>
  <c r="AA70" i="1"/>
  <c r="AD26" i="1"/>
  <c r="AF26" i="1" s="1"/>
  <c r="F70" i="1"/>
  <c r="AD50" i="1"/>
  <c r="AE53" i="1"/>
  <c r="AF53" i="1" s="1"/>
  <c r="AD11" i="1"/>
  <c r="AF11" i="1" s="1"/>
  <c r="AE56" i="1"/>
  <c r="AF56" i="1" s="1"/>
  <c r="AE10" i="1"/>
  <c r="AD47" i="1"/>
  <c r="AF47" i="1" s="1"/>
  <c r="AE50" i="1"/>
  <c r="AF50" i="1" s="1"/>
  <c r="AD39" i="1"/>
  <c r="AF39" i="1" s="1"/>
  <c r="AD19" i="1"/>
  <c r="AF19" i="1" s="1"/>
  <c r="AD34" i="1"/>
  <c r="AF34" i="1" s="1"/>
  <c r="AD36" i="1"/>
  <c r="AF36" i="1" s="1"/>
  <c r="AD41" i="1"/>
  <c r="AF41" i="1" s="1"/>
  <c r="AD57" i="1"/>
  <c r="AF57" i="1" s="1"/>
  <c r="AD10" i="1"/>
  <c r="AD20" i="1"/>
  <c r="AF20" i="1" s="1"/>
  <c r="AD42" i="1"/>
  <c r="AF42" i="1" s="1"/>
  <c r="AD13" i="1"/>
  <c r="AF13" i="1" s="1"/>
  <c r="D82" i="11" l="1"/>
  <c r="AF11" i="11"/>
  <c r="AF43" i="11"/>
  <c r="AF34" i="11"/>
  <c r="AF15" i="11"/>
  <c r="AD77" i="11"/>
  <c r="AF77" i="11" s="1"/>
  <c r="AF39" i="11"/>
  <c r="AF19" i="11"/>
  <c r="AF13" i="11"/>
  <c r="AF17" i="9"/>
  <c r="AF10" i="9"/>
  <c r="AE77" i="9"/>
  <c r="AD77" i="9"/>
  <c r="AF10" i="7"/>
  <c r="D82" i="7"/>
  <c r="AF77" i="7"/>
  <c r="AF35" i="7"/>
  <c r="AF11" i="7"/>
  <c r="AF10" i="5"/>
  <c r="AF18" i="5"/>
  <c r="AD77" i="5"/>
  <c r="AF33" i="5"/>
  <c r="AE77" i="5"/>
  <c r="AF35" i="1"/>
  <c r="AF43" i="1"/>
  <c r="AF25" i="1"/>
  <c r="AF33" i="1"/>
  <c r="AE70" i="1"/>
  <c r="AF10" i="1"/>
  <c r="AF38" i="1"/>
  <c r="AF21" i="1"/>
  <c r="AF24" i="1"/>
  <c r="AF49" i="1"/>
  <c r="AD70" i="1"/>
  <c r="AF44" i="1"/>
  <c r="AF22" i="1"/>
  <c r="AF54" i="1"/>
  <c r="AF45" i="1"/>
  <c r="AF58" i="1"/>
  <c r="AF12" i="1"/>
  <c r="D85" i="11" l="1"/>
  <c r="D83" i="11"/>
  <c r="D82" i="9"/>
  <c r="AF77" i="9"/>
  <c r="D85" i="7"/>
  <c r="D83" i="7"/>
  <c r="D82" i="5"/>
  <c r="AF77" i="5"/>
  <c r="D75" i="1"/>
  <c r="AF70" i="1"/>
  <c r="D85" i="9" l="1"/>
  <c r="D83" i="9"/>
  <c r="D85" i="5"/>
  <c r="D83" i="5"/>
  <c r="D78" i="1"/>
  <c r="D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7127B60E-0C73-4704-8560-B099CDC73BC8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0" authorId="0" shapeId="0" xr:uid="{9BE14A49-9E63-4198-975E-B2C8F7AA3C05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2719B5DD-0FCC-4851-9FDD-42E993478C1C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7" authorId="0" shapeId="0" xr:uid="{740DB3D7-1D3A-43D4-A585-E107AB21A798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E7A8D70D-C127-4C6B-B3BC-452B38D92FCB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7" authorId="0" shapeId="0" xr:uid="{E136AFAE-DD16-447E-9413-6BA39984186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F4C74840-1DC9-4CE7-9FE6-1B9F08F955C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7" authorId="0" shapeId="0" xr:uid="{BB6B40CA-ED7D-4758-8C2F-BAB7290780CD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3845EDEE-6EA0-4451-ACDD-A52060C7D31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7" authorId="0" shapeId="0" xr:uid="{FC546D2E-9463-4B54-B551-A8AE164895CF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<sst xmlns="http://schemas.openxmlformats.org/spreadsheetml/2006/main" count="2432" uniqueCount="653">
  <si>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</si>
  <si>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</si>
  <si>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</si>
  <si>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</si>
  <si>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</si>
  <si>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</si>
  <si>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</si>
  <si>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</si>
  <si>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</si>
  <si>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</si>
  <si>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</si>
  <si>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</si>
  <si>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</si>
  <si>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</si>
  <si>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</si>
  <si>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</si>
  <si>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</si>
  <si>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</si>
  <si>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</si>
  <si>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</si>
  <si>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</si>
  <si>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</si>
  <si>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</si>
  <si>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</si>
  <si>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</si>
  <si>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</si>
  <si>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ค่าจ้างเหมาอื่น</t>
  </si>
  <si>
    <t>ค่าใช้จ่ายจากการดำเนินงานธุรกิจเสริม</t>
  </si>
  <si>
    <t>ค่าซ่อมแซมและบำรุงรักษาเครื่องตกแต่งและเครื่องใช้สำนักงาน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</si>
  <si>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</si>
  <si>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</si>
  <si>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</si>
  <si>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</si>
  <si>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</si>
  <si>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</si>
  <si>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</si>
  <si>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</si>
  <si>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</si>
  <si>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</si>
  <si>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</si>
  <si>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</si>
  <si>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</si>
  <si>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</si>
  <si>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</si>
  <si>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</si>
  <si>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</si>
  <si>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</si>
  <si>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</si>
  <si>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</si>
  <si>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</si>
  <si>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</si>
  <si>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</si>
  <si>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</si>
  <si>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</si>
  <si>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</si>
  <si>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งานจ้างทดสอบน้ำหนักลิฟต์โดยสาร</t>
  </si>
  <si>
    <t>เฉพาะเจาะจง</t>
  </si>
  <si>
    <t>บจก.ดีทรัสส์ เอเลเวเทอร์</t>
  </si>
  <si>
    <t>งบทำการ - ค่าซ่อมแซมและบำรุงรักษาเครื่องตกแต่งและเครื่องใช้สำนักงาน</t>
  </si>
  <si>
    <t>ü</t>
  </si>
  <si>
    <t>หจก.ไทยเทคนิคลิฟท์แอนด์เครน</t>
  </si>
  <si>
    <t>เสนอราคาต่ำสุด</t>
  </si>
  <si>
    <t>PO 3300071233</t>
  </si>
  <si>
    <t>เลขที่ จท05-11-68</t>
  </si>
  <si>
    <t>บจก.เพชรสว่าง เช็คกิ้งและการช่าง (สำนักงานใหญ่)</t>
  </si>
  <si>
    <t>และมีคุณสมบัติครบถ้วน</t>
  </si>
  <si>
    <t>ลงวันที่ 1 กันยายน 2568</t>
  </si>
  <si>
    <t>งานจ้างก่อสร้างวางท่อประปา และงานที่เกี่ยวข้อง</t>
  </si>
  <si>
    <t>บจก.บุญพิศลย์การช่าง</t>
  </si>
  <si>
    <t xml:space="preserve">งบลงทุน - งานเปลี่ยนท่อ (ปรับปรุงกำลังน้ำ) </t>
  </si>
  <si>
    <t>(กรณีเร่งด่วน) ถนนนางลิ้นจี่ (ซอยนางลิ้นจี่ 2 - ถนนจันทน์ตัดใหม่)</t>
  </si>
  <si>
    <t>เสนอราคารายเดียว</t>
  </si>
  <si>
    <t>PO 3300071292</t>
  </si>
  <si>
    <t>เลขที่ ปป05-03-68</t>
  </si>
  <si>
    <t>ลงวันที่ 4 กันยายน 2568</t>
  </si>
  <si>
    <t xml:space="preserve">งานซื้ออุปกรณ์ด้านความปลอดภัยของ สสท. </t>
  </si>
  <si>
    <t>บจก.ลอฟท์ เอเชีย</t>
  </si>
  <si>
    <t>งบทำการ - ค่าวัสดุเครื่องแต่งกายและคุ้มครองความปลอดภัย</t>
  </si>
  <si>
    <t xml:space="preserve">จำนวน 15 รายการ </t>
  </si>
  <si>
    <t>บจก.เสริมราศี</t>
  </si>
  <si>
    <t>PO 3300071337</t>
  </si>
  <si>
    <t>เลขที่ ซท05-09-68</t>
  </si>
  <si>
    <t>บจก.ดงตาล โซลูชั่น (สำนักงานใหญ่)</t>
  </si>
  <si>
    <t>ลงวันที่ 9 กันยายน 2568</t>
  </si>
  <si>
    <t>งานซื้อหลอดไฟของ สสท. จำนวน 200 หลอด</t>
  </si>
  <si>
    <t>งบทำการ - ค่าวัสดุไฟฟ้า วิทยุและอิเลคโทรนิค</t>
  </si>
  <si>
    <t>เลขที่ ซท05-10-68</t>
  </si>
  <si>
    <t>PO 3300071343</t>
  </si>
  <si>
    <t>งานซื้อไส้กรองน้ำเครื่องทำน้ำร้อน-น้ำเย็น พร้อมเปลี่ยน</t>
  </si>
  <si>
    <t>บจก.แสงเอกซัพพลายส์</t>
  </si>
  <si>
    <t>งบทำการ - ค่าวัสดุสำนักงาน งานบ้าน งานครัว</t>
  </si>
  <si>
    <t>ของ สสท. เลขที่ ซท05-08-68</t>
  </si>
  <si>
    <t>บจก.ไทยเสรีเอ็นจิเนียริ่ง</t>
  </si>
  <si>
    <t>PO 3300071372</t>
  </si>
  <si>
    <t>ควอลิตี้ โปรดักส์ ซัพพลายส์ (ไม่เข้าร่วมระบบภาษีมูค่าเพิ่ม)</t>
  </si>
  <si>
    <t>3,210.00 (ไม่เข้าร่วมระบบภาษีมูค่าเพิ่ม)</t>
  </si>
  <si>
    <t>ลงวันที่ 10 กันยายน 2568</t>
  </si>
  <si>
    <t>งานซื้อผ้าใบกันสาด และกันสาดแบบมือหมุนพับได้ของ สสท.</t>
  </si>
  <si>
    <t>งบทำการ - ค่าซ่อมแซมและบำรุงรักษาอาคารและสิ่งก่อสร้าง</t>
  </si>
  <si>
    <t>เลขที่ ซท05-11-68</t>
  </si>
  <si>
    <t>PO 3300071399</t>
  </si>
  <si>
    <t>ลงวันที่ 11 กันยายน 2568</t>
  </si>
  <si>
    <t>งานจ้างก่อสร้างวางท่อประปาในโครงการจัดสรร และงานที่</t>
  </si>
  <si>
    <t>หจก.ธ.เจริญผล 2024 คอนสตรัคชั่น</t>
  </si>
  <si>
    <t xml:space="preserve">งบลงทุน - งานขยายเขต - รับจ้างงาน </t>
  </si>
  <si>
    <t xml:space="preserve">เกี่ยวข้อง (โครงการ Mavich สาธุประดิษฐ์ - พระราม 3 </t>
  </si>
  <si>
    <t>PO 3300071499</t>
  </si>
  <si>
    <t>(เฟส 2) ถนนรัชดาภิเษก) เลขที่ วธ05-02-68</t>
  </si>
  <si>
    <t>ลงวันที่ 18 กันยายน 2568</t>
  </si>
  <si>
    <t>สรุปผลการดำเนินการจัดซื้อจัดจ้าง</t>
  </si>
  <si>
    <t>ปีงบประมาณ 2568 (สะสม)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</si>
  <si>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</si>
  <si>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</si>
  <si>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</si>
  <si>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</si>
  <si>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</si>
  <si>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</si>
  <si>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</si>
  <si>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</si>
  <si>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</si>
  <si>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</si>
  <si>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</si>
  <si>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งานซื้อเก้าอี้ประชุม ของ สปน.กรร.สสท.</t>
  </si>
  <si>
    <t>บจก.เพอร์เฟ็ค เฟอร์นิเจอร์</t>
  </si>
  <si>
    <t>งบลงทุน - เครื่องมือเครื่องใช้สำนักงาน</t>
  </si>
  <si>
    <t>2568</t>
  </si>
  <si>
    <t>เลขที่ ซล05-02-68</t>
  </si>
  <si>
    <t>PO 3300066726</t>
  </si>
  <si>
    <t>บจก.เจอาร์ ดีไซน์ อินทีเรีย</t>
  </si>
  <si>
    <t>ลงวันที่ 3 ตุลาคม 2567</t>
  </si>
  <si>
    <t>หจก.เอส.ที. พาเนล</t>
  </si>
  <si>
    <t>งานซื้อลูกกลิ้งวัดระยะทาง ของ สกส.กรร.สสท.</t>
  </si>
  <si>
    <t>หจก.ธาราเอ็นจิเนียริ่ง</t>
  </si>
  <si>
    <t>งบลงทุน - เครื่องมือและอุปกรณ์ในการวางท่อ ซ่อมท่อ และ สำรวจท่อ</t>
  </si>
  <si>
    <t>เลขที่ ซล05-01-68</t>
  </si>
  <si>
    <t>บจก.อินทร์โชคชัย</t>
  </si>
  <si>
    <t>PO 3300066734</t>
  </si>
  <si>
    <t>หจก.เอสทีพีพี เอ็นจีเนียริ่ง</t>
  </si>
  <si>
    <t>งานซื้อเก้าอี้แถว 4 ที่นั่ง ของ สจก.กรด.สสท.</t>
  </si>
  <si>
    <t>ก้าวที่ดี เฟอร์นิเจอร์</t>
  </si>
  <si>
    <t>เลขที่ ซล05-04-68</t>
  </si>
  <si>
    <t>บจก.เลเว่น เดคอร์ (สำนักงานใหญ่)</t>
  </si>
  <si>
    <t>PO 3300066785</t>
  </si>
  <si>
    <t>บจก.เกษมศิริเฟอร์นิเจอร์ (สำนักงานใหญ่)</t>
  </si>
  <si>
    <t>ลงวันที่ 4 ตุลาคม 2567</t>
  </si>
  <si>
    <t>งานซื้อเครื่องคำนวณเลขไฟฟ้า ของ สจก.กรด.สสท.</t>
  </si>
  <si>
    <t>บจก.ออฟฟิศ ดีไซน์</t>
  </si>
  <si>
    <t>เลขที่ ซล05-03-68</t>
  </si>
  <si>
    <t>บจก.ออฟฟิศเวิร์ค</t>
  </si>
  <si>
    <t>PO 3300066816</t>
  </si>
  <si>
    <t>บจก.ออฟฟิศเมท (ไทย)</t>
  </si>
  <si>
    <t>งานซื้อเครื่องนับธนบัตรแบบตั้งพื้น จำนวน 2 เครื่อง</t>
  </si>
  <si>
    <t>บจก.บิล เค้าเตอร์ (ประเทศไทย) (สำนักงานใหญ่)</t>
  </si>
  <si>
    <t>เลขที่ ซล05-05-68</t>
  </si>
  <si>
    <t>หจก.ฟาตาเทรด (ประเทศไทย)</t>
  </si>
  <si>
    <t>PO 3300066850</t>
  </si>
  <si>
    <t>ลงวันที่ 7 ตุลาคม 2567</t>
  </si>
  <si>
    <t>หจก.ไทยพาวเวอร์มอลล์ อินเตอร์เนชั่นแนล</t>
  </si>
  <si>
    <t>บจก.ภัทรสิน คอนสตรัคชั่น แอนด์ เซอร์วิส (2547)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</si>
  <si>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</si>
  <si>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</si>
  <si>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PO 3300066905</t>
  </si>
  <si>
    <t>สัญญาเลขที่ ป05-03-68</t>
  </si>
  <si>
    <t>ลงวันที่ 8 ตุลาคม 2567</t>
  </si>
  <si>
    <t>งานจ้างย้ายหัวดับเพลิง และงานที่เกี่ยวข้อง</t>
  </si>
  <si>
    <t>งบทำการ - ค่าใช้จ่ายจากการดำเนินงานธุรกิจเสริม</t>
  </si>
  <si>
    <t>พื้นที่สำนักงานประปาสาขาทุ่งมหาเมฆ</t>
  </si>
  <si>
    <t>PO 3300066995</t>
  </si>
  <si>
    <t>สัญญาเลขที่ จท05-01-68</t>
  </si>
  <si>
    <t>ลงวันที่ 11 ตุลาคม 2567</t>
  </si>
  <si>
    <t>งานจ้างปรับปรุงถอดเปลี่ยน ยก/ย้าย มาตรวัดน้ำ</t>
  </si>
  <si>
    <t>หจก.เค.ที.เมนเดอร์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</si>
  <si>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</si>
  <si>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พื้นที่สำนักงานประปสาขาทุ่งมหาเมฆ</t>
  </si>
  <si>
    <t>PO 3300066998</t>
  </si>
  <si>
    <t>สัญญาเลขที่ มบ05-01-68</t>
  </si>
  <si>
    <t>งานซื้อเก้าอี้ให้บริการ จำนวน 5 ตัว ของ สบก.กรก.สสท.</t>
  </si>
  <si>
    <t>เลขที่ ซล05-06-68</t>
  </si>
  <si>
    <t>บจก.เอ็ม พี ซินเนอร์จิ</t>
  </si>
  <si>
    <t>PO 3300067097</t>
  </si>
  <si>
    <t>บจก.โฮม  โปรดักส์ เซ็นเตอร์ (มหาชน)</t>
  </si>
  <si>
    <t>ลงวันที่ 18 ตุลาคม 2567</t>
  </si>
  <si>
    <t>PO 3300067304</t>
  </si>
  <si>
    <t>สัญญาเลขที่ ป05-04-68</t>
  </si>
  <si>
    <t>ลงวันที่ 30 ตุลาคม 2567</t>
  </si>
  <si>
    <t>งานจ้างซ่อมท่อประปาแตกรั่ว พร้อมงานที่เกี่ยวข้อง</t>
  </si>
  <si>
    <t>e-bidding</t>
  </si>
  <si>
    <t>งบทำการ - ค่าจ้างเหมาซ่อมท่อแตกท่อรั่ว</t>
  </si>
  <si>
    <t>PO 3300066566</t>
  </si>
  <si>
    <t>สัญญาเลขที่ ซป05-01-68</t>
  </si>
  <si>
    <t>ลงวันที่ 1 ตุลาคม 2567</t>
  </si>
  <si>
    <t>งานจ้างสำรวจหาจุดรั่วในระบบจ่ายน้ำ</t>
  </si>
  <si>
    <t>บจก.ไฮโดร อีควิปเมนท์ ซัพพลาย แอนด์ เซอร์วิส</t>
  </si>
  <si>
    <t>งบทำการ - ค่าจ้างเหมาสำรวจหาท่อรั่ว</t>
  </si>
  <si>
    <t>PO 3300066805</t>
  </si>
  <si>
    <t>สะสม</t>
  </si>
  <si>
    <t>สัญญาเลขที่ สร05-01-68</t>
  </si>
  <si>
    <t>บจก.ไอโดร เอ็นจิเนียริ่ง</t>
  </si>
  <si>
    <t>ตค.67</t>
  </si>
  <si>
    <t>พย.67</t>
  </si>
  <si>
    <t>หจก.ดิลกพัฒนา เอนจิเนียริ่ง</t>
  </si>
  <si>
    <t>ธค.67</t>
  </si>
  <si>
    <t>PO 3300067535</t>
  </si>
  <si>
    <t>มค.68</t>
  </si>
  <si>
    <t>สัญญาเลขที่ ป05-08-68</t>
  </si>
  <si>
    <t>ลงวันที่ 13 พฤศจิกายน 2567</t>
  </si>
  <si>
    <t>กพ.68</t>
  </si>
  <si>
    <t>มีค.68</t>
  </si>
  <si>
    <t>งานซื้อเครื่องจัดระบบคิวอัตโนมัติและอุปกรณ์ พร้อมติดตั้ง</t>
  </si>
  <si>
    <t>บจก.เดพ โซลูชั่น (สำนักงานใหญ่)</t>
  </si>
  <si>
    <t>เมย.68</t>
  </si>
  <si>
    <t>ของ สจก.กรด.สสท.</t>
  </si>
  <si>
    <t>บจก.ฟรังซิส โซลูชั่น เจ พี (สำนักงานใหญ่)</t>
  </si>
  <si>
    <t>PO 3300067560</t>
  </si>
  <si>
    <t>พค.68</t>
  </si>
  <si>
    <t>เลขที่ ซล05-07-68</t>
  </si>
  <si>
    <t>ลงวันที่ 14 พฤศจิกายน 2567</t>
  </si>
  <si>
    <t>มิย.68</t>
  </si>
  <si>
    <t>บจก.อินฟินิท เทคโนโลยี คอร์ปอเรชั่น</t>
  </si>
  <si>
    <t>กค.68</t>
  </si>
  <si>
    <t>สค.68</t>
  </si>
  <si>
    <t>งานจ้างปรับปรุงถอดเปลี่ยนมาตรวัดน้ำครบวาระ</t>
  </si>
  <si>
    <t>หจก.เค.ที. เมนเดอร์</t>
  </si>
  <si>
    <t xml:space="preserve">งบลงทุน - งานเปลี่ยนมาตรวัดน้ำขนาด 1/2 นิ้ว ถึง 12 นิ้ว </t>
  </si>
  <si>
    <t>กย.68</t>
  </si>
  <si>
    <t>และงานที่เกี่ยวข้อง พื้นที่สำนักงานประปาสาขาทุ่งมหาเมฆ</t>
  </si>
  <si>
    <t>PO 3300067605</t>
  </si>
  <si>
    <t>สัญญาเลขที่ มว05-01-68</t>
  </si>
  <si>
    <t>ลงวันที่ 18 พฤศจิกายน 2567</t>
  </si>
  <si>
    <t>งานติดตั้งประปาใหม่, งานเพิ่ม/ลดขนาดมาตรวัดน้ำ</t>
  </si>
  <si>
    <t>คัดเลือก</t>
  </si>
  <si>
    <t>หจก.เกื้ออุไร</t>
  </si>
  <si>
    <t>งบลงทุน - งานขยายเขต - ติดตั้งประปาใหม่</t>
  </si>
  <si>
    <t>บจก.โอสิริแอนด์ซันส์</t>
  </si>
  <si>
    <t>PO 3300067400</t>
  </si>
  <si>
    <t>สัญญาเลขที่ ตม05-01-68</t>
  </si>
  <si>
    <t>ลงวันที่ 5 พฤศจิกายน 2567</t>
  </si>
  <si>
    <t>งานซื้อหมึกพิมพ์ของ สสท. จำนวน 110 กล่อง</t>
  </si>
  <si>
    <t>บจก.ทรัพย์อรุณพง (สำนักงานใหญ่)</t>
  </si>
  <si>
    <t>งบทำการ - ค่าวัสดุคอมพิวเตอร์</t>
  </si>
  <si>
    <t>เลขที่ ซท05-01-68</t>
  </si>
  <si>
    <t>PO 3300067861</t>
  </si>
  <si>
    <t>หจก.เอ็น.ยู.เอ็น.</t>
  </si>
  <si>
    <t>ลงวันที่ 6 ธันวาคม 2567</t>
  </si>
  <si>
    <t>บจก.โช-อ๊อน (ประเทศไทย)</t>
  </si>
  <si>
    <t>งานจ้างทำตรายาง สำหรับใช้ในสำนักงานของหน่วยงาน</t>
  </si>
  <si>
    <t>หจก.พัฒนากิจ ซัพพลายส์ (2018)</t>
  </si>
  <si>
    <t>เลขที่ จท05-02-68</t>
  </si>
  <si>
    <t>ร้าน ชัยกิจเทรดดิ้ง</t>
  </si>
  <si>
    <t>9,895.00 (ไม่เข้าร่วมระบบภาษีมูลค่าเพิ่ม)</t>
  </si>
  <si>
    <t>PO 3300067876</t>
  </si>
  <si>
    <t>หจก.เบญจวรรณพาณิชย์</t>
  </si>
  <si>
    <t>บจก.โอสิริ แอนด์ ซันส์</t>
  </si>
  <si>
    <t>PO 3300067880</t>
  </si>
  <si>
    <t>สัญญาเลขที่ ป05-09-68</t>
  </si>
  <si>
    <t>ลงวันที่ 9 ธันวาคม 2567</t>
  </si>
  <si>
    <t>บจก.ดี ลัคกี้ อินเตอร์พริ้นติ้ง แอนด์ เซอร์วิส</t>
  </si>
  <si>
    <t>PO 3300067956</t>
  </si>
  <si>
    <t>สัญญาเลขที่ ป05-10-68</t>
  </si>
  <si>
    <t>ลงวันที่ 13 ธันวาคม 2567</t>
  </si>
  <si>
    <t xml:space="preserve">งานจ้างซ่อมบำรุงรักษารถบรรทุก หมายเลขทะเบียน </t>
  </si>
  <si>
    <t>บจก.วิจิตรออโต้ไทร์</t>
  </si>
  <si>
    <t>งบทำการ - ค่าซ่อมแซมและบำรุงรักษายานพาหนะ</t>
  </si>
  <si>
    <t>ถฬ 2348 ของ สบก.กรก.สสท.</t>
  </si>
  <si>
    <t>บจก.เอ็นพี ซาบิสุ (สำนักงานใหญ่)</t>
  </si>
  <si>
    <t>PO 3300068009</t>
  </si>
  <si>
    <t>เลขที่ จท05-03-68</t>
  </si>
  <si>
    <t>บจก.คาร์เซอร์เคิล แอนด์ เซอร์วิส</t>
  </si>
  <si>
    <t>ลงวันที่ 18 ธันวาคม 2567</t>
  </si>
  <si>
    <t>PO 3300068079</t>
  </si>
  <si>
    <t>สัญญาเลขที่ ป05-11-68</t>
  </si>
  <si>
    <t>ลงวันที่ 25 ธันวาคม 2567</t>
  </si>
  <si>
    <t>งานจ้างก่อสร้างวางท่อประปาในโครงการจัดสรร,</t>
  </si>
  <si>
    <t>บจก.บวรการช่าง</t>
  </si>
  <si>
    <t>ย้ายแนวท่อประปา ติดตั้งหัวดับเพลิง และงานที่เกี่ยวข้อง</t>
  </si>
  <si>
    <t>สัญญาเลขที่ วธ05-01-68</t>
  </si>
  <si>
    <t>บจก.พงศ์พัช ไฮโดร</t>
  </si>
  <si>
    <t>PO 3300067805</t>
  </si>
  <si>
    <t>บจก.สุทธิพร การโยธา</t>
  </si>
  <si>
    <t>ลงวันที่ 2 ธันวาคม 2567</t>
  </si>
  <si>
    <t>งานจ้างก่อสร้างวางท่อประปาและงานที่เกี่ยวข้อง</t>
  </si>
  <si>
    <t>ด้านปรับปรุงกำลังน้ำ (กรณีเร่งด่วน)</t>
  </si>
  <si>
    <t>PO 3300068001</t>
  </si>
  <si>
    <t>พื้นที่เขตสาทร และเขตยานนาวา</t>
  </si>
  <si>
    <t>สัญญาเลขที่ ปป05-02-68</t>
  </si>
  <si>
    <t>บจก.บิลดิ้ง แคร์</t>
  </si>
  <si>
    <t>งบลงทุน - งานเปลี่ยนท่อ (ปรับปรุงกำลังน้ำ)</t>
  </si>
  <si>
    <t>พื้นที่เขตบางรัก และเขตบางคอแหลม</t>
  </si>
  <si>
    <t>PO 3300068037</t>
  </si>
  <si>
    <t>สัญญาเลขที่ ปป05-01-68</t>
  </si>
  <si>
    <t>ลงวันที่ 20 ธันวาคม 2567</t>
  </si>
  <si>
    <t>PO 3300068236</t>
  </si>
  <si>
    <t>สัญญาเลขที่ ป05-14-68</t>
  </si>
  <si>
    <t>ลงวันที่ 13 มกราคม 2568</t>
  </si>
  <si>
    <t>PO 3300068354</t>
  </si>
  <si>
    <t>สัญญาเลขที่ ป05-15-68</t>
  </si>
  <si>
    <t>ลงวันที่ 21 มกราคม 2568</t>
  </si>
  <si>
    <t>งานจ้างติดตั้งหลังคาเมทัลชีทอาคารพัสดุ</t>
  </si>
  <si>
    <t>บจก.เจริญพรภัทร</t>
  </si>
  <si>
    <t>บจก.เซอร์วิส เอ็นจิเนียริ่ง (ไทยแลนด์)</t>
  </si>
  <si>
    <t>PO 3300068500</t>
  </si>
  <si>
    <t>สัญญาเลขที่ จล05-01-68</t>
  </si>
  <si>
    <t>ลงวันที่ 31 มกราคม 2568</t>
  </si>
  <si>
    <t>บจก.อมรชัย เพอร์เฟคท์</t>
  </si>
  <si>
    <t>บจก.ปุณยนุช อินเท็นซ</t>
  </si>
  <si>
    <t>PO 3300068567</t>
  </si>
  <si>
    <t>สัญญาเลขที่ ป05-16-68</t>
  </si>
  <si>
    <t>ลงวันที่ 6 กุมภาพันธ์ 2568</t>
  </si>
  <si>
    <t>งานจ้างเหมาบำรุงรักษาเครื่องปรับอากาศระยะเวลา 8 เดือน</t>
  </si>
  <si>
    <t>บจก.ราชาแอร์ และ เทคโนโลยี (สำนักงานใหญ่)</t>
  </si>
  <si>
    <t>งบทำการ - ค่าซ่อมแซมและบำรุงรักษาเครื่องปรับอากาศ</t>
  </si>
  <si>
    <t>(ตั้งแต่เดือน ก.พ.68 - ก.ย.68) ของ สสท.</t>
  </si>
  <si>
    <t>PO 3300068612</t>
  </si>
  <si>
    <t>เลขที่ จท05-05-68</t>
  </si>
  <si>
    <t>บจก.จามจุรีไฟฟ้า ก่อสร้าง</t>
  </si>
  <si>
    <t>ลงวันที่ 10 กุมภาพันธ์ 2568</t>
  </si>
  <si>
    <t>บจก.โยชัว แอร์เทค</t>
  </si>
  <si>
    <t>งานจ้างซ่อมบำรุงรักษารถบรรทุก ISUZU หมายเลขทะเบียน</t>
  </si>
  <si>
    <t xml:space="preserve">ถฬ 2306 ของ สซท.กรร.สสท. </t>
  </si>
  <si>
    <t>PO 3300068647</t>
  </si>
  <si>
    <t>เลขที่ จล05-04-68</t>
  </si>
  <si>
    <t>ลงวันที่ 11 กุมภาพันธ์ 2568</t>
  </si>
  <si>
    <t>สัญญาเลขที่ ป05-12-68</t>
  </si>
  <si>
    <t>PO 3300068876</t>
  </si>
  <si>
    <t>ลงวันที่ 27 กุมภาพันธ์ 2568</t>
  </si>
  <si>
    <t>บจก.เพิ่มชัยการช่าง</t>
  </si>
  <si>
    <t>สัญญาเลขที่ ป05-07-68</t>
  </si>
  <si>
    <t>บจก.ธนาชั้น การช่าง</t>
  </si>
  <si>
    <t>บจก.พี.พี. ท่อบริการ</t>
  </si>
  <si>
    <t>PO 3300068900</t>
  </si>
  <si>
    <t>ลงวันที่ 28 กุมภาพันธ์ 2568</t>
  </si>
  <si>
    <t>บจก.ไทคูนวณิชย์</t>
  </si>
  <si>
    <t>บจก.ชัยสิทธิ์ การโยธา</t>
  </si>
  <si>
    <t>งานซื้อไส้กรองน้ำเครื่องทำน้ำร้อนน้ำเย็น พร้อมเปลี่ยน</t>
  </si>
  <si>
    <t>ของพื้นที่สำนักงานประปาสาขาทุ่งมหาเมฆ</t>
  </si>
  <si>
    <t>บจก.ควอลิตี้ โปรดักส์ ซัพพลายส์</t>
  </si>
  <si>
    <t>PO 3300068931</t>
  </si>
  <si>
    <t>เลขที่ ซท05-02-68</t>
  </si>
  <si>
    <t>ลงวันที่ 4 มีนาคม 2568</t>
  </si>
  <si>
    <t>PO 3300069066</t>
  </si>
  <si>
    <t>สัญญาเลขที่ ป05-19-68</t>
  </si>
  <si>
    <t>ลงวันที่ 12 มีนาคม 2568</t>
  </si>
  <si>
    <t>งานจ้างซ่อมเครื่องปรับอากาศ จำนวน 3 เครื่อง</t>
  </si>
  <si>
    <t>ของสำนักงานประปาสาขาทุ่งมหาเมฆ</t>
  </si>
  <si>
    <t>PO 3300069162</t>
  </si>
  <si>
    <t>เลขที่ จท05-07-68</t>
  </si>
  <si>
    <t>ลงวันที่ 19 มีนาคม 2568</t>
  </si>
  <si>
    <t>PO 3300069174</t>
  </si>
  <si>
    <t>สัญญาเลขที่ ป05-21-68</t>
  </si>
  <si>
    <t>PO 3300069192</t>
  </si>
  <si>
    <t>สัญญาเลขที่ ป05-22-68</t>
  </si>
  <si>
    <t>ลงวันที่ 20 มีนาคม 2568</t>
  </si>
  <si>
    <t>PO 3300069243</t>
  </si>
  <si>
    <t>สัญญาเลขที่ ป05-23-68</t>
  </si>
  <si>
    <t>ลงวันที่ 24 มีนาคม 2568</t>
  </si>
  <si>
    <t>สัญญาเลขที่ ป05-13-68</t>
  </si>
  <si>
    <t>หจก.อินแอนด์ออนเซอร์วิส</t>
  </si>
  <si>
    <t>PO 3300068989</t>
  </si>
  <si>
    <t>ลงวันที่ 7 มีนาคม 2568</t>
  </si>
  <si>
    <t>บจก.พี.บี.85 การช่าง</t>
  </si>
  <si>
    <t>PO 3300069072</t>
  </si>
  <si>
    <t>สัญญาเลขที่ ป05-01-68</t>
  </si>
  <si>
    <t>ลงวันที่ 13 มีนาคม 2568</t>
  </si>
  <si>
    <t>งานจ้างซ่อมบำรุงรถบรรทุก หมายเลขทะเบียน 97-9766</t>
  </si>
  <si>
    <t>บจก.พัฒนพล ออโต้ เซอร์วิส</t>
  </si>
  <si>
    <t>เลขที่ จท05-06-68</t>
  </si>
  <si>
    <t xml:space="preserve"> บจก.เสถียร บอดี้ คาร์ เซอร์วิส (ไม่เข้าร่วมระบบภาษีมูค่าเพิ่ม)</t>
  </si>
  <si>
    <t>69,000.00 (ไม่เข้าร่วมระบบภาษีมูลค่าเพิ่ม)</t>
  </si>
  <si>
    <t>PO 3300069421</t>
  </si>
  <si>
    <t>ลงวันที่ 8 เมษายน 2568</t>
  </si>
  <si>
    <t>บจก.รุ่งชัยยนต์</t>
  </si>
  <si>
    <t>งานซื้อถังขยะ ของ สำนักงานประปาสาขาทุ่งมหาเมฆ</t>
  </si>
  <si>
    <t>เลขที่ ซท05-03-68</t>
  </si>
  <si>
    <t>PO 3300069426</t>
  </si>
  <si>
    <t>งานซื้อแบตเตอรี่พร้อมเปลี่ยน รถบรรทุกหมายเลขทะเบียน</t>
  </si>
  <si>
    <t>งบทำการ - ค่าวัสดุยานพาหนะ</t>
  </si>
  <si>
    <t>ถฬ 2348 เลขที่ ซท05-04-68</t>
  </si>
  <si>
    <t>PO 3300069550</t>
  </si>
  <si>
    <t>ลงวันที่ 22 เมษายน 2568</t>
  </si>
  <si>
    <t>สัญญาเลขที่ ป05-02-68</t>
  </si>
  <si>
    <t>PO 3300069479</t>
  </si>
  <si>
    <t>ลงวันที่ 11 เมษายน 2568</t>
  </si>
  <si>
    <t>PO 3300069492</t>
  </si>
  <si>
    <t>สัญญาเลขที่ ป05-05-68</t>
  </si>
  <si>
    <t>ลงวันที่ 17 เมษายน 2568</t>
  </si>
  <si>
    <t xml:space="preserve">งานจ้างสำรวจหาจุดรั่วในระบบจ่ายน้ำ </t>
  </si>
  <si>
    <t xml:space="preserve">      บจก.ไฮโดร อีควิปเมนท์      ซัพพลาย แอนด์ เซอร์วิส</t>
  </si>
  <si>
    <t>PO 3300069709</t>
  </si>
  <si>
    <t>สัญญาเลขที่ สร05-02-68</t>
  </si>
  <si>
    <t>บจก.ไฮโดร เอ็นจิเนียริ่ง</t>
  </si>
  <si>
    <t>ลงวันที่ 7 พฤษภาคม 2568</t>
  </si>
  <si>
    <t>บจก.อิษฎา วอเตอร์ซิสเต็มส์</t>
  </si>
  <si>
    <t>PO 3300069878</t>
  </si>
  <si>
    <t>สัญญาเลขที่ ป05-06-68</t>
  </si>
  <si>
    <t>ลงวันที่ 22 พฤษภาคม 2568</t>
  </si>
  <si>
    <t>PO 3300069957</t>
  </si>
  <si>
    <t>สัญญาเลขที่ ซป05-02-68</t>
  </si>
  <si>
    <t>ลงวันที่ 28 พฤษภาคม 2568</t>
  </si>
  <si>
    <t>บจก.เซน เทค (โกลบอล)</t>
  </si>
  <si>
    <t>PO 3300070099</t>
  </si>
  <si>
    <t>สัญญาเลขที่ ป05-25-68</t>
  </si>
  <si>
    <t>ลงวันที่ 11 มิถุนายน 2568</t>
  </si>
  <si>
    <t>บจก.โอสิริแอนด์ซํนส์</t>
  </si>
  <si>
    <t>PO 3300070131</t>
  </si>
  <si>
    <t>สัญญาเลขที่ ป05-24-68</t>
  </si>
  <si>
    <t>ลงวันที่ 13 มิถุนายน 2568</t>
  </si>
  <si>
    <t>งานจ้างสอบเทียบเครื่องมือตรวจวัดความเข้มของแสงสว่าง</t>
  </si>
  <si>
    <t>บจก.ยูนิไทย กรุ๊ป</t>
  </si>
  <si>
    <t>งบทำการ - ค่าจ้างเหมาบริการอื่น ๆ</t>
  </si>
  <si>
    <t>ของ สสท. เลขที่ จท05-08-68</t>
  </si>
  <si>
    <t>บจก.อินเตอร์เนชั่นแนล เทสติ้ง เซอร์วิส</t>
  </si>
  <si>
    <t>PO 3300070151</t>
  </si>
  <si>
    <t>ลงวันที่ 16 มิถุนายน 2568</t>
  </si>
  <si>
    <t>บจก.อินโนเวทีฟ อินสทรูเมนต์</t>
  </si>
  <si>
    <t>PO 3300070161</t>
  </si>
  <si>
    <t>สัญญาเลขที่ ป05-26-68</t>
  </si>
  <si>
    <t>สัญญาเลขที่ ป05-18-68</t>
  </si>
  <si>
    <t>PO 3300070314</t>
  </si>
  <si>
    <t>ลงวันที่ 26 มิถุนายน 2568</t>
  </si>
  <si>
    <t>PO 3300070727</t>
  </si>
  <si>
    <t>สัญญาเลขที่ สร05-03-68</t>
  </si>
  <si>
    <t>ลงวันที่ 24 กรกฎาคม 2568</t>
  </si>
  <si>
    <t>PO 3300070375</t>
  </si>
  <si>
    <t>สัญญาเลขที่ ป05-17-68</t>
  </si>
  <si>
    <t>ลงวันที่ 1 กรกฎาคม 2568</t>
  </si>
  <si>
    <t>PO 3300070644</t>
  </si>
  <si>
    <t>สัญญาเลขที่ ป05-20-68</t>
  </si>
  <si>
    <t>ลงวันที่ 18 กรกฎาคม 2568</t>
  </si>
  <si>
    <t>งานซื้อกระดาษชำระเพื่อใช้สำหรับห้องน้ำของ สสท.</t>
  </si>
  <si>
    <t>บจก.เจนเทิล แคร์</t>
  </si>
  <si>
    <t>เลขที่ ซท05-05-68</t>
  </si>
  <si>
    <t>PO 3300070799</t>
  </si>
  <si>
    <t>บจก.บางกอกบูรพา</t>
  </si>
  <si>
    <t>ลงวันที่ 1 สิงหาคม 2568</t>
  </si>
  <si>
    <t>บจก.เจนบรรเจิด</t>
  </si>
  <si>
    <t>ถฬ-2308 ของ สพด.กรก.สสท.</t>
  </si>
  <si>
    <t>PO 3300070893</t>
  </si>
  <si>
    <t>เลขที่ จท05-10-68</t>
  </si>
  <si>
    <t>บจก.เสถียร บอดี้ คาร์ เซอร์วิส</t>
  </si>
  <si>
    <t>ลงวันที่ 7 สิงหาคม 2568</t>
  </si>
  <si>
    <t xml:space="preserve">งานซื้อพร้อมติดตั้งม่านปรับแสงห้อง ผจ.สสท. </t>
  </si>
  <si>
    <t>บจก.เอ็นดับบลิว เคอร์เทน</t>
  </si>
  <si>
    <t>และมู่ลี่ปรับแสง โรงอาหาร สสท.</t>
  </si>
  <si>
    <t>บจก.สลิม.เทค</t>
  </si>
  <si>
    <t>PO 3300071092</t>
  </si>
  <si>
    <t>เลขที่ ซล05-08-68</t>
  </si>
  <si>
    <t>บจก.โอเชียน นิวดีไซน์</t>
  </si>
  <si>
    <t>ลงวันที่ 22 สิงหาคม 2568</t>
  </si>
  <si>
    <t>งานซื้อหมึกพิมพ์ของ สสท. จำนวน 81 กล่อง</t>
  </si>
  <si>
    <t xml:space="preserve">บจก.ทรัพย์อรุณพง </t>
  </si>
  <si>
    <t>บจก.ทรัพย์อรุณพง</t>
  </si>
  <si>
    <t>เลขที่ ซท05-07-68</t>
  </si>
  <si>
    <t>หจก.เอ็น.ยู.เอ็น</t>
  </si>
  <si>
    <t>PO 3300071097</t>
  </si>
  <si>
    <t>บจก.โซ-อ๊อน (ประเทศไทย)</t>
  </si>
  <si>
    <t>ลงวันที่ 25 สิงหาคม 2568</t>
  </si>
  <si>
    <t>งานซื้อหูฟังมอนิเตอร์สตูดิโอ แบบครอบหู</t>
  </si>
  <si>
    <t>เลขที่ ซท05-06-68</t>
  </si>
  <si>
    <t>PO 3300071108</t>
  </si>
  <si>
    <t>บจก.ดีทรัสส์ เอเลเวเตอร์</t>
  </si>
  <si>
    <t>รวมทั้งสิ้น 69 รายการ</t>
  </si>
  <si>
    <t>สรุปผลการดำเนินการจัดซื้อจัดจ้างในรอบเดือน ตุลาคม 2568 (วิธีเฉพาะเจาะจง)</t>
  </si>
  <si>
    <t>วันที่ 1-31 ตุลาคม 2568</t>
  </si>
  <si>
    <t>สรุปผลการดำเนินการจัดซื้อจัดจ้างในรอบเดือน ตุลาคม 2568 (วิธี e-bidding)</t>
  </si>
  <si>
    <t>งานจ้างเหมาบำรุงรักษาและทดสอบน้ำหนักลิฟต์โดยสาร</t>
  </si>
  <si>
    <t>ของ สสท. เลขที่ จท05-01-69</t>
  </si>
  <si>
    <t>PO 3300071910</t>
  </si>
  <si>
    <t>ลงวันที่ 14 ตุลาคม 2568</t>
  </si>
  <si>
    <t>งานซื้อกล้อง Conference Cam สำหรับการประชุมออนไลน์</t>
  </si>
  <si>
    <t>หจก.แอล.อี.ดี.เอฟโวลูชั่น</t>
  </si>
  <si>
    <t>เลขที่ ซล05-02-69</t>
  </si>
  <si>
    <t>PO 3300072000</t>
  </si>
  <si>
    <t>บจก.เอวี. แอพพลาย</t>
  </si>
  <si>
    <t>ลงวันที่ 16 ตุลาคม 2568</t>
  </si>
  <si>
    <t>หจก.บุรณพนธ์ ลิ้งค์</t>
  </si>
  <si>
    <t>งานซื้อชุดเครื่องเสียงเคลื่อนที่ พร้อมไมโครโฟน</t>
  </si>
  <si>
    <t>ของ สสท. จำนวน 1 ชุด</t>
  </si>
  <si>
    <t>PO 3300072001</t>
  </si>
  <si>
    <t>เลขที่ ซล05-03-69</t>
  </si>
  <si>
    <t>PO 3300072088</t>
  </si>
  <si>
    <t>เลขที่ มบ05-01-69</t>
  </si>
  <si>
    <t>ลงวันที่ 20 ตุลาคม 2568</t>
  </si>
  <si>
    <t>งานซื้อพัดลมแบบตั้งพื้นของ สจก.สสท.</t>
  </si>
  <si>
    <t>เลขที่ ซล05-01-69</t>
  </si>
  <si>
    <t>PO 3300072256</t>
  </si>
  <si>
    <t>ลงวันที่ 27 ตุลาคม 2568</t>
  </si>
  <si>
    <t>รวมทั้งสิ้น 5 รายการ</t>
  </si>
  <si>
    <t>PO 3300071739</t>
  </si>
  <si>
    <t>สัญญาเลขที่ ซป05-01-69</t>
  </si>
  <si>
    <t>ลงวันที่ 1 ตุลาคม 2568</t>
  </si>
  <si>
    <t>PO 3300071826</t>
  </si>
  <si>
    <t>สัญญาเลขที่ สร05-01-69</t>
  </si>
  <si>
    <t>ลงวันที่ 3 ตุลาคม 2568</t>
  </si>
  <si>
    <t>รวมทั้งสิ้น 2 รายการ</t>
  </si>
  <si>
    <t>งบประมาณปี 2569</t>
  </si>
  <si>
    <t>ผลการจัดซื้อจัดจ้าง SME ที่ทำได้สะสม ต.ค. 68</t>
  </si>
  <si>
    <t>สรุปผลการจัดซื้อจัดจ้างกับผู้ประกอบการ SMEs สะสม ต.ค. 68</t>
  </si>
  <si>
    <t>(งานบำรุงรักษาและทดสอบน้ำหนักลิฟต์โดยสาร)</t>
  </si>
  <si>
    <t>เครื่องบันทึกภาพ บันทึกเสียงและอุปกรณ์ (กล้อง Conference)</t>
  </si>
  <si>
    <t>เครื่องมือเครื่องใช้สำนักงาน (ซื้อชุดเครื่องเสียง)</t>
  </si>
  <si>
    <t>เครื่องมือเครื่องใช้สำนักงาน (ซื้อพัดลมแบบตั้งพื้น)</t>
  </si>
  <si>
    <t>ปีงบประมาณ 2569 (สะสม)</t>
  </si>
  <si>
    <t>2569</t>
  </si>
  <si>
    <t>ตค.68</t>
  </si>
  <si>
    <t>พย.68</t>
  </si>
  <si>
    <t>ธค.68</t>
  </si>
  <si>
    <t>มค.69</t>
  </si>
  <si>
    <t>กพ.69</t>
  </si>
  <si>
    <t>มีค.69</t>
  </si>
  <si>
    <t>เมย.69</t>
  </si>
  <si>
    <t>พค.69</t>
  </si>
  <si>
    <t>มิย.69</t>
  </si>
  <si>
    <t>กค.69</t>
  </si>
  <si>
    <t>สค.69</t>
  </si>
  <si>
    <t>กย.69</t>
  </si>
  <si>
    <t>งบลงทุน - เครื่องบันทึกภาพ บันทึกเสียงและอุปกรณ์</t>
  </si>
  <si>
    <t xml:space="preserve">งานจ้างเหมาปรับปรุงจุดจ่ายน้ำประปา RO </t>
  </si>
  <si>
    <t>บจก.ดิจิตอล รูม โซลูชั่น</t>
  </si>
  <si>
    <t>ตามโครงการน้ำดื่มสะอาด สสท.</t>
  </si>
  <si>
    <t>PO 3300072555</t>
  </si>
  <si>
    <t>เลขที่ จท05-02-69</t>
  </si>
  <si>
    <t>บจก.ดีดีโอเวอร์ออลส์</t>
  </si>
  <si>
    <t>ลงวันที่ 12 พฤศจิกายน 2568</t>
  </si>
  <si>
    <t>งานซื้อผงทดสอบคลอรีน ของ สปน.กรร.สสท.</t>
  </si>
  <si>
    <t>บจก.ฮานนา อินสทรูเม้นท์ส (ประเทศไทย)</t>
  </si>
  <si>
    <t>เลขที่ ซท05-01-69</t>
  </si>
  <si>
    <t>PO 3300072573</t>
  </si>
  <si>
    <t>บจก.ไบฟรอส เคมเทค</t>
  </si>
  <si>
    <t>บจก.บัมเบิ้ลบี เอ็นเทอร์ไพรส์</t>
  </si>
  <si>
    <t>PO 3300072590</t>
  </si>
  <si>
    <t>เลขที่ ป05-03-69</t>
  </si>
  <si>
    <t>ลงวันที่ 13 พฤศจิกายน 2568</t>
  </si>
  <si>
    <t>PO 3300072853</t>
  </si>
  <si>
    <t>เลขที่ ป05-04-69</t>
  </si>
  <si>
    <t>ลงวันที่ 28 พฤศจิกายน 2568</t>
  </si>
  <si>
    <t>และงานที่เหี่ยวข้อง พื้นที่สำนักงานประปาสาขาทุ่งมหาเมฆ</t>
  </si>
  <si>
    <t>PO 3300072665</t>
  </si>
  <si>
    <t>สัญญาเลขที่ มว05-01-69</t>
  </si>
  <si>
    <t>ลงวันที่ 19 พฤศจิกายน 2568</t>
  </si>
  <si>
    <t>งานจ้างติดตั้งประปา, งานเพิ่ม/ลดขนาดมาตรวัดน้ำ</t>
  </si>
  <si>
    <t>PO 3300072800</t>
  </si>
  <si>
    <t>สัญญาเลขที่ ตม05-01-69</t>
  </si>
  <si>
    <t>ลงวันที่ 26 พฤศจิกายน 2568</t>
  </si>
  <si>
    <t>รวมทั้งสิ้น 4 รายการ</t>
  </si>
  <si>
    <t>สรุปผลการดำเนินการจัดซื้อจัดจ้างในรอบเดือน พฤศจิกายน 2568 (วิธีเฉพาะเจาะจง)</t>
  </si>
  <si>
    <t>วันที่ 1-30 พฤศจิกายน 2568</t>
  </si>
  <si>
    <t>สรุปผลการดำเนินการจัดซื้อจัดจ้างในรอบเดือน พฤศจิกายน 2568 (วิธี e-bidding)</t>
  </si>
  <si>
    <t>(งานจ้างเหมาปรับปรุงจัดจ่ายน้ำ RO) ตามโครงการน้ำดื่มสะอาด</t>
  </si>
  <si>
    <t>ค่าวัสดุวิทยาศาสตร์และการแพทย์</t>
  </si>
  <si>
    <t>สรุปผลการจัดซื้อจัดจ้างกับผู้ประกอบการ SMEs สะสม พ.ย. 68</t>
  </si>
  <si>
    <t>ผลการจัดซื้อจัดจ้าง SME ที่ทำได้สะสม พ.ย. 68</t>
  </si>
  <si>
    <t>งบทำการ - ค่าวัสดุวิทยาศาสตร์และการแพทย์</t>
  </si>
  <si>
    <t>รวมทั้งสิ้น 1 รายการ</t>
  </si>
  <si>
    <t>วันที่ 1-31 ธันวาคม 2568</t>
  </si>
  <si>
    <t>สรุปผลการดำเนินการจัดซื้อจัดจ้างในรอบเดือน ธันวาคม 2568 (วิธีเฉพาะเจาะจง)</t>
  </si>
  <si>
    <t>สรุปผลการดำเนินการจัดซื้อจัดจ้างในรอบเดือน ธันวาคม 2568 (วิธี e-bidding)</t>
  </si>
  <si>
    <t>ย้ายแนวท่อ, ติดตั้งหัวดับเพลิง และงานที่เกี่ยวข้อง</t>
  </si>
  <si>
    <t>PO 3300072879</t>
  </si>
  <si>
    <t>สัญญาเลขที่ วธ05-01-69</t>
  </si>
  <si>
    <t>ลงวันที่ 1 ธันวาคม 2568</t>
  </si>
  <si>
    <t>เลขที่ ป05-01-69</t>
  </si>
  <si>
    <t>PO 3300073215</t>
  </si>
  <si>
    <t>ลงวันที่ 25 ธันวาคม 2568</t>
  </si>
  <si>
    <t xml:space="preserve">    บจก.ไทยแมททีเรียล แอนด์ คอนสตรัคชั่น</t>
  </si>
  <si>
    <t>งานซื้อแบตเตอรี่และใบปัดน้ำฝนพร้อมเปลี่ยน</t>
  </si>
  <si>
    <t>สำหรับรถบรรทุก ISUZU ขนาด 6 ตัน 6 ล้อ แบบบรรทุกน้ำ</t>
  </si>
  <si>
    <t>PO 3300073145</t>
  </si>
  <si>
    <t>หมายเลขทะเบียน 42-3891 ของ สบก.กรก.สสท.</t>
  </si>
  <si>
    <t>ลงวันที่ 22 ธันวาคม 2568</t>
  </si>
  <si>
    <t>เลขที่ ซท05-02-69</t>
  </si>
  <si>
    <t>บจก.เอ็นพี ซาบิสุ (สำนักงานใหญ๋)</t>
  </si>
  <si>
    <t>ค่าวัสดุยานพาหนะ</t>
  </si>
  <si>
    <t>สรุปผลการจัดซื้อจัดจ้างกับผู้ประกอบการ SMEs สะสม ธ.ค. 68</t>
  </si>
  <si>
    <t>ผลการจัดซื้อจัดจ้าง SME ที่ทำได้สะสม ธ.ค. 68</t>
  </si>
  <si>
    <t>สรุปผลการดำเนินการจัดซื้อจัดจ้างในรอบเดือน มกราคม 2569 (วิธีเฉพาะเจาะจง)</t>
  </si>
  <si>
    <t>วันที่ 1-31 มกราคม 2569</t>
  </si>
  <si>
    <t>PO 3300073319</t>
  </si>
  <si>
    <t>เลขที่ ป05-07-69</t>
  </si>
  <si>
    <t>ลงวันที่ 7 มกราคม 2569</t>
  </si>
  <si>
    <t>งานซื้อสีสเปรย์สีแดงสำหรับยงานพ่นสำรวจหาท่อรั่ว</t>
  </si>
  <si>
    <t>ของ สปน.กรร.สสท.</t>
  </si>
  <si>
    <t>PO 3300073444</t>
  </si>
  <si>
    <t>เลขที่ ซท05-04-69</t>
  </si>
  <si>
    <t>ลงวันที่ 15 มกราคม 2569</t>
  </si>
  <si>
    <t>สำหรับรถบรรทุก ISUZU แบบบรรทุกน้ำ</t>
  </si>
  <si>
    <t>PO 3300073537</t>
  </si>
  <si>
    <t>หมายเลขทะเบียน 52-3891</t>
  </si>
  <si>
    <t>ลงวันที่ 22 มกราคม 2569</t>
  </si>
  <si>
    <t>เลขที่ ซท05-03-69</t>
  </si>
  <si>
    <t>งานจ้างบำรุงรักษาเครื่องปรับอากาศ ระยะเวลา 8 เดือน</t>
  </si>
  <si>
    <t>บจก.ราชาแอร์ และ เทคโนโลยี</t>
  </si>
  <si>
    <t>(ตั้งแต่เดือน ก.พ.69 - ก.ย.69) ของ สสท.</t>
  </si>
  <si>
    <t>PO 3300073640</t>
  </si>
  <si>
    <t>เลขที่ จท05-04-69</t>
  </si>
  <si>
    <t>บจก.จามจุรี ไฟฟ้า ก่อสร้าง</t>
  </si>
  <si>
    <t>ลงวันที่ 28 มกราคม 2569</t>
  </si>
  <si>
    <t>งานจ้างผลิตพร้อมติดตั้งป้ายประชาสัมพันธ์ ของสสท.</t>
  </si>
  <si>
    <t>ร้านพี.พี.แอดเวอร์ไทซิ่ง</t>
  </si>
  <si>
    <t>30,930.00 (ไม่ได้เข้าร่วมระบบภาษีมูลค่าเพิ่ม)</t>
  </si>
  <si>
    <t>เลขที่ จท05-03-69</t>
  </si>
  <si>
    <t>PO 3300073676</t>
  </si>
  <si>
    <t>ร้านไฮไซน์ สตูดิโอ</t>
  </si>
  <si>
    <t>ลงวันที่ 30 มกราคม 2569</t>
  </si>
  <si>
    <t>ร้านนคร โตเกียว</t>
  </si>
  <si>
    <t>สรุปผลการดำเนินการจัดซื้อจัดจ้างในรอบเดือน มกราคม 2569 (วิธี e-bidding)</t>
  </si>
  <si>
    <t>PO 3300073351</t>
  </si>
  <si>
    <t>ลงวันที่ 9 มกราคม 2569</t>
  </si>
  <si>
    <t>เลขที่ ปป05-01-69</t>
  </si>
  <si>
    <t>PO 3300073476</t>
  </si>
  <si>
    <t>ลงวันที่ 19 มกราคม 2569</t>
  </si>
  <si>
    <t>เลขที่ ปป05-02-69</t>
  </si>
  <si>
    <t>สรุปผลการจัดซื้อจัดจ้างกับผู้ประกอบการ SMEs สะสม ม.ค. 69</t>
  </si>
  <si>
    <t>ผลการจัดซื้อจัดจ้าง SME ที่ทำได้สะสม ม.ค. 69</t>
  </si>
  <si>
    <t>ค่าโฆษณาและประชาสัมพันธ์</t>
  </si>
  <si>
    <t>งบทำการ - ค่าโฆษณาและประชาสัมพันธ์</t>
  </si>
  <si>
    <t>ค่าซ่อมแซมและบำรุงรักษาเครื่องปรับอากาศ</t>
  </si>
  <si>
    <t>ค่าวัสดุก่อสร้าง</t>
  </si>
  <si>
    <t>งบทำการ - ค่าวัสดุก่อสร้าง</t>
  </si>
  <si>
    <t>งานซื้อถังขยะแยกประเภท และถังกรองเศษอาหาร</t>
  </si>
  <si>
    <t>เลขที่ ซท05-06-69</t>
  </si>
  <si>
    <t>PO 3300073828</t>
  </si>
  <si>
    <t>ลงวันที่ 10 กุมภาพันธ์ 2569</t>
  </si>
  <si>
    <t>งานซื้ออะไหล่เครื่องทำน้ำร้อน - น้ำเย็น พร้อมติดตั้ง</t>
  </si>
  <si>
    <t>เลขที่ ซท05-05-69</t>
  </si>
  <si>
    <t>ควอลิตี้ โปรดักส์ ซัพพลายส์</t>
  </si>
  <si>
    <t>3,240.00 (ไม่เข้าร่วมระบบภาษีมูลค่าเพิ่ม)</t>
  </si>
  <si>
    <t>PO 3300073870</t>
  </si>
  <si>
    <t>ลงวันที่ 12 กุมภาพันธ์ 2569</t>
  </si>
  <si>
    <t>งานจ้างผลิตไดคัทสติ๊กเกอร์ที่จอดรถสำหรับลูกค้า</t>
  </si>
  <si>
    <t>ร้าน พี.พี.แอดเวอร์ไทซิ่ง</t>
  </si>
  <si>
    <t>1,200.00 (ไม่เข้าร่วมระบบภาษีมูลค่าเพิ่ม)</t>
  </si>
  <si>
    <t>PO 3300073974</t>
  </si>
  <si>
    <t>เลขที่ จท05-06-69</t>
  </si>
  <si>
    <t>ลงวันที่ 19 กุมภาพันธ์ 2569</t>
  </si>
  <si>
    <t>งานซื้อสีพร้อมอุปกรณ์สำหรับทาสีที่จอดรถ</t>
  </si>
  <si>
    <t>PO 3300073993</t>
  </si>
  <si>
    <t>เลขที่ ซท05-07-69</t>
  </si>
  <si>
    <t>ลงวันที่ 20 กุมภาพันธ์ 2569</t>
  </si>
  <si>
    <t>โครงการแสนสิริ (ซอยสาทร 10) ถนนสาทรเหนือ</t>
  </si>
  <si>
    <t>PO 3300074016</t>
  </si>
  <si>
    <t>เลขที่ จท05-05-69</t>
  </si>
  <si>
    <t>ลงวันที่ 23 กุมภาพันธ์ 2569</t>
  </si>
  <si>
    <t>สรุปผลการดำเนินการจัดซื้อจัดจ้างในรอบเดือน กุมภาพันธ์ 2569 (วิธีเฉพาะเจาะจง)</t>
  </si>
  <si>
    <t>วันที่ 1-28 กุมภาพันธ์ 2569</t>
  </si>
  <si>
    <t>สรุปผลการจัดซื้อจัดจ้างกับผู้ประกอบการ SMEs สะสม ก.พ. 69</t>
  </si>
  <si>
    <t>ผลการจัดซื้อจัดจ้าง SME ที่ทำได้สะสม ก.พ. 69</t>
  </si>
  <si>
    <t>ค่าวัสดุสำนักงาน งานบ้าน งานครัว (ซท05-06-69)</t>
  </si>
  <si>
    <t>ค่าวัสดุสำนักงาน งานบ้าน งานครัว (ซท05-05-69)</t>
  </si>
  <si>
    <t>ค่าวัสดุเครื่องแต่งกายและคุ้มครองความปลอดภัย (จท05-06-69)</t>
  </si>
  <si>
    <t>ค่าวัสดุเครื่องแต่งกายและคุ้มครองความปลอดภัย (ซท05-07-69)</t>
  </si>
  <si>
    <t>ค่าใช้จ่ายจากงานบริการอื่นๆ (จท05-05-69)</t>
  </si>
  <si>
    <t>งบทำการ - ค่าใช้จ่ายจากงานบริการอื่นๆ</t>
  </si>
  <si>
    <t>รวมทั้งสิ้น 28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</si>
</sst>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[Red]\(#,##0.00\)"/>
    <numFmt numFmtId="165" formatCode="_-* #,##0_-;\-* #,##0_-;_-* &quot;-&quot;??_-;_-@_-"/>
    <numFmt numFmtId="166" formatCode="#,##0.00_ ;\-#,##0.00\ "/>
  </numFmts>
  <fonts count="25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4.5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sz val="14"/>
      <color theme="1"/>
      <name val="Aptos Narrow"/>
      <family val="2"/>
      <charset val="222"/>
      <scheme val="minor"/>
    </font>
    <font>
      <sz val="14"/>
      <color rgb="FFFF0000"/>
      <name val="Aptos Narrow"/>
      <family val="2"/>
      <charset val="222"/>
      <scheme val="minor"/>
    </font>
    <font>
      <sz val="14"/>
      <color rgb="FF00B0F0"/>
      <name val="Aptos Narrow"/>
      <family val="2"/>
      <charset val="222"/>
      <scheme val="minor"/>
    </font>
    <font>
      <b/>
      <sz val="14"/>
      <color rgb="FF7030A0"/>
      <name val="Aptos Narrow"/>
      <family val="2"/>
      <scheme val="minor"/>
    </font>
    <font>
      <b/>
      <sz val="22"/>
      <color theme="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theme="9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3" borderId="1" xfId="1" applyFont="1" applyFill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2" fontId="3" fillId="0" borderId="0" xfId="0" applyNumberFormat="1" applyFont="1"/>
    <xf numFmtId="2" fontId="3" fillId="4" borderId="0" xfId="0" applyNumberFormat="1" applyFont="1" applyFill="1"/>
    <xf numFmtId="2" fontId="3" fillId="5" borderId="0" xfId="0" applyNumberFormat="1" applyFont="1" applyFill="1"/>
    <xf numFmtId="2" fontId="4" fillId="5" borderId="0" xfId="0" applyNumberFormat="1" applyFont="1" applyFill="1"/>
    <xf numFmtId="0" fontId="4" fillId="5" borderId="0" xfId="0" applyFont="1" applyFill="1"/>
    <xf numFmtId="0" fontId="3" fillId="4" borderId="0" xfId="0" applyFont="1" applyFill="1"/>
    <xf numFmtId="0" fontId="3" fillId="5" borderId="0" xfId="0" applyFont="1" applyFill="1"/>
    <xf numFmtId="0" fontId="5" fillId="0" borderId="1" xfId="0" applyFont="1" applyBorder="1" applyAlignment="1">
      <alignment vertical="top" wrapText="1"/>
    </xf>
    <xf numFmtId="43" fontId="2" fillId="3" borderId="8" xfId="1" applyFont="1" applyFill="1" applyBorder="1"/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10" fontId="3" fillId="2" borderId="0" xfId="2" applyNumberFormat="1" applyFont="1" applyFill="1" applyBorder="1" applyAlignment="1">
      <alignment horizontal="center"/>
    </xf>
    <xf numFmtId="43" fontId="2" fillId="0" borderId="1" xfId="1" applyFont="1" applyBorder="1"/>
    <xf numFmtId="0" fontId="3" fillId="0" borderId="1" xfId="0" quotePrefix="1" applyFont="1" applyBorder="1"/>
    <xf numFmtId="0" fontId="3" fillId="3" borderId="0" xfId="2" applyNumberFormat="1" applyFont="1" applyFill="1" applyBorder="1" applyAlignment="1">
      <alignment horizontal="center"/>
    </xf>
    <xf numFmtId="0" fontId="3" fillId="3" borderId="0" xfId="0" applyFont="1" applyFill="1"/>
    <xf numFmtId="0" fontId="3" fillId="6" borderId="0" xfId="0" applyFont="1" applyFill="1"/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/>
    <xf numFmtId="43" fontId="2" fillId="7" borderId="1" xfId="1" applyFont="1" applyFill="1" applyBorder="1"/>
    <xf numFmtId="43" fontId="3" fillId="7" borderId="1" xfId="1" applyFont="1" applyFill="1" applyBorder="1"/>
    <xf numFmtId="43" fontId="4" fillId="7" borderId="1" xfId="1" applyFont="1" applyFill="1" applyBorder="1" applyAlignment="1">
      <alignment horizontal="left" vertical="top" wrapText="1"/>
    </xf>
    <xf numFmtId="43" fontId="3" fillId="7" borderId="1" xfId="1" applyFont="1" applyFill="1" applyBorder="1" applyAlignment="1">
      <alignment horizontal="center"/>
    </xf>
    <xf numFmtId="43" fontId="3" fillId="7" borderId="2" xfId="1" applyFont="1" applyFill="1" applyBorder="1"/>
    <xf numFmtId="10" fontId="3" fillId="7" borderId="1" xfId="2" applyNumberFormat="1" applyFont="1" applyFill="1" applyBorder="1" applyAlignment="1">
      <alignment horizontal="center"/>
    </xf>
    <xf numFmtId="10" fontId="3" fillId="7" borderId="0" xfId="2" applyNumberFormat="1" applyFont="1" applyFill="1" applyBorder="1" applyAlignment="1">
      <alignment horizontal="center"/>
    </xf>
    <xf numFmtId="43" fontId="4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64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49" fontId="3" fillId="0" borderId="0" xfId="1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8" borderId="5" xfId="4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/>
    <xf numFmtId="4" fontId="9" fillId="0" borderId="8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" fontId="8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center" wrapText="1"/>
    </xf>
    <xf numFmtId="0" fontId="16" fillId="9" borderId="1" xfId="0" applyFont="1" applyFill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9" fillId="8" borderId="6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vertical="center"/>
    </xf>
    <xf numFmtId="0" fontId="9" fillId="8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 applyBorder="1"/>
    <xf numFmtId="4" fontId="9" fillId="0" borderId="0" xfId="3" applyNumberFormat="1" applyFont="1"/>
    <xf numFmtId="165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" fontId="12" fillId="0" borderId="1" xfId="4" applyNumberFormat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0" fontId="12" fillId="10" borderId="1" xfId="4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0" fillId="0" borderId="0" xfId="0" applyFont="1"/>
    <xf numFmtId="4" fontId="21" fillId="3" borderId="0" xfId="0" applyNumberFormat="1" applyFont="1" applyFill="1"/>
    <xf numFmtId="4" fontId="22" fillId="0" borderId="0" xfId="0" applyNumberFormat="1" applyFont="1"/>
    <xf numFmtId="0" fontId="8" fillId="0" borderId="6" xfId="0" applyFont="1" applyBorder="1" applyAlignment="1">
      <alignment horizontal="center" vertical="center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/>
    </xf>
    <xf numFmtId="0" fontId="9" fillId="0" borderId="8" xfId="0" applyFont="1" applyBorder="1" applyAlignment="1">
      <alignment vertical="center" wrapText="1"/>
    </xf>
    <xf numFmtId="4" fontId="20" fillId="0" borderId="0" xfId="0" applyNumberFormat="1" applyFont="1"/>
    <xf numFmtId="0" fontId="9" fillId="0" borderId="18" xfId="0" applyFont="1" applyBorder="1" applyAlignment="1">
      <alignment horizontal="center" vertical="center"/>
    </xf>
    <xf numFmtId="0" fontId="9" fillId="0" borderId="5" xfId="0" applyFont="1" applyBorder="1"/>
    <xf numFmtId="0" fontId="20" fillId="0" borderId="0" xfId="0" applyFont="1" applyAlignment="1">
      <alignment horizontal="center"/>
    </xf>
    <xf numFmtId="0" fontId="23" fillId="13" borderId="0" xfId="0" applyFont="1" applyFill="1"/>
    <xf numFmtId="0" fontId="9" fillId="0" borderId="19" xfId="0" applyFont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" fontId="9" fillId="0" borderId="13" xfId="3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4" fontId="9" fillId="0" borderId="7" xfId="3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" fontId="9" fillId="0" borderId="5" xfId="3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9" fillId="0" borderId="3" xfId="0" applyFont="1" applyBorder="1"/>
    <xf numFmtId="17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9" fillId="0" borderId="0" xfId="3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 wrapText="1"/>
    </xf>
    <xf numFmtId="0" fontId="13" fillId="0" borderId="0" xfId="4" applyFont="1" applyAlignment="1">
      <alignment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2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2" fillId="8" borderId="1" xfId="4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/>
    </xf>
    <xf numFmtId="0" fontId="9" fillId="8" borderId="1" xfId="0" applyFont="1" applyFill="1" applyBorder="1"/>
    <xf numFmtId="0" fontId="3" fillId="0" borderId="0" xfId="0" applyFont="1" applyFill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12" fillId="8" borderId="5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" fontId="20" fillId="0" borderId="23" xfId="0" applyNumberFormat="1" applyFont="1" applyBorder="1"/>
    <xf numFmtId="0" fontId="20" fillId="0" borderId="23" xfId="0" applyFont="1" applyBorder="1"/>
    <xf numFmtId="0" fontId="24" fillId="3" borderId="23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12" fillId="8" borderId="5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12" fillId="8" borderId="5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12" fillId="8" borderId="5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12" borderId="5" xfId="0" applyNumberFormat="1" applyFont="1" applyFill="1" applyBorder="1" applyAlignment="1">
      <alignment horizontal="center" vertical="center"/>
    </xf>
    <xf numFmtId="49" fontId="3" fillId="12" borderId="8" xfId="0" applyNumberFormat="1" applyFont="1" applyFill="1" applyBorder="1" applyAlignment="1">
      <alignment horizontal="center" vertical="center"/>
    </xf>
    <xf numFmtId="49" fontId="3" fillId="12" borderId="6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8" borderId="8" xfId="4" applyFont="1" applyFill="1" applyBorder="1" applyAlignment="1">
      <alignment horizontal="center" vertical="center" wrapText="1"/>
    </xf>
    <xf numFmtId="0" fontId="13" fillId="8" borderId="6" xfId="4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17" fontId="3" fillId="12" borderId="11" xfId="0" applyNumberFormat="1" applyFont="1" applyFill="1" applyBorder="1" applyAlignment="1">
      <alignment horizontal="center" vertical="center"/>
    </xf>
    <xf numFmtId="17" fontId="3" fillId="12" borderId="13" xfId="0" applyNumberFormat="1" applyFont="1" applyFill="1" applyBorder="1" applyAlignment="1">
      <alignment horizontal="center" vertical="center"/>
    </xf>
    <xf numFmtId="17" fontId="3" fillId="12" borderId="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4" fontId="9" fillId="0" borderId="10" xfId="1" applyNumberFormat="1" applyFont="1" applyBorder="1" applyAlignment="1">
      <alignment horizontal="center" vertical="center" wrapText="1"/>
    </xf>
    <xf numFmtId="4" fontId="9" fillId="0" borderId="14" xfId="1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4" fontId="15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8" borderId="5" xfId="4" applyFont="1" applyFill="1" applyBorder="1" applyAlignment="1">
      <alignment horizontal="center" vertical="center" wrapText="1"/>
    </xf>
    <xf numFmtId="0" fontId="12" fillId="8" borderId="8" xfId="4" applyFont="1" applyFill="1" applyBorder="1" applyAlignment="1">
      <alignment horizontal="center" vertical="center" wrapText="1"/>
    </xf>
    <xf numFmtId="0" fontId="12" fillId="8" borderId="6" xfId="4" applyFont="1" applyFill="1" applyBorder="1" applyAlignment="1">
      <alignment horizontal="center" vertical="center" wrapText="1"/>
    </xf>
    <xf numFmtId="17" fontId="3" fillId="12" borderId="5" xfId="0" applyNumberFormat="1" applyFont="1" applyFill="1" applyBorder="1" applyAlignment="1">
      <alignment horizontal="center" vertical="center"/>
    </xf>
    <xf numFmtId="17" fontId="3" fillId="12" borderId="8" xfId="0" applyNumberFormat="1" applyFont="1" applyFill="1" applyBorder="1" applyAlignment="1">
      <alignment horizontal="center" vertical="center"/>
    </xf>
    <xf numFmtId="17" fontId="3" fillId="12" borderId="6" xfId="0" applyNumberFormat="1" applyFont="1" applyFill="1" applyBorder="1" applyAlignment="1">
      <alignment horizontal="center" vertical="center"/>
    </xf>
    <xf numFmtId="49" fontId="3" fillId="12" borderId="18" xfId="0" applyNumberFormat="1" applyFont="1" applyFill="1" applyBorder="1" applyAlignment="1">
      <alignment horizontal="center" vertical="center"/>
    </xf>
    <xf numFmtId="49" fontId="3" fillId="12" borderId="0" xfId="0" applyNumberFormat="1" applyFont="1" applyFill="1" applyAlignment="1">
      <alignment horizontal="center" vertical="center"/>
    </xf>
    <xf numFmtId="49" fontId="3" fillId="12" borderId="19" xfId="0" applyNumberFormat="1" applyFont="1" applyFill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 wrapText="1"/>
    </xf>
    <xf numFmtId="166" fontId="9" fillId="0" borderId="8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 wrapText="1"/>
    </xf>
    <xf numFmtId="4" fontId="9" fillId="0" borderId="5" xfId="3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49" fontId="3" fillId="12" borderId="11" xfId="0" applyNumberFormat="1" applyFont="1" applyFill="1" applyBorder="1" applyAlignment="1">
      <alignment horizontal="center" vertical="center"/>
    </xf>
    <xf numFmtId="49" fontId="3" fillId="12" borderId="13" xfId="0" applyNumberFormat="1" applyFont="1" applyFill="1" applyBorder="1" applyAlignment="1">
      <alignment horizontal="center" vertical="center"/>
    </xf>
    <xf numFmtId="49" fontId="3" fillId="12" borderId="7" xfId="0" applyNumberFormat="1" applyFont="1" applyFill="1" applyBorder="1" applyAlignment="1">
      <alignment horizontal="center" vertical="center"/>
    </xf>
    <xf numFmtId="4" fontId="9" fillId="0" borderId="8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4" fontId="9" fillId="0" borderId="5" xfId="1" applyNumberFormat="1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10" borderId="1" xfId="4" applyFont="1" applyFill="1" applyBorder="1" applyAlignment="1">
      <alignment horizontal="center" vertical="center" wrapText="1"/>
    </xf>
    <xf numFmtId="0" fontId="12" fillId="10" borderId="2" xfId="4" applyFont="1" applyFill="1" applyBorder="1" applyAlignment="1">
      <alignment horizontal="center" vertical="center" wrapText="1"/>
    </xf>
    <xf numFmtId="0" fontId="12" fillId="10" borderId="4" xfId="4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1" fillId="8" borderId="1" xfId="4" applyFont="1" applyFill="1" applyBorder="1" applyAlignment="1">
      <alignment horizontal="center" vertical="center" wrapText="1"/>
    </xf>
    <xf numFmtId="0" fontId="12" fillId="8" borderId="2" xfId="4" applyFont="1" applyFill="1" applyBorder="1" applyAlignment="1">
      <alignment horizontal="center" vertical="center" wrapText="1"/>
    </xf>
    <xf numFmtId="0" fontId="12" fillId="8" borderId="4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8" borderId="5" xfId="4" applyFont="1" applyFill="1" applyBorder="1" applyAlignment="1">
      <alignment horizontal="center" vertical="center" wrapText="1"/>
    </xf>
    <xf numFmtId="49" fontId="3" fillId="12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2 2" xfId="3" xr:uid="{D8C8A6B2-F976-4EB0-A024-4BBD86654B2E}"/>
    <cellStyle name="Normal" xfId="0" builtinId="0"/>
    <cellStyle name="Normal 2" xfId="5" xr:uid="{8B68698B-7A21-4267-B1C7-498C59B26332}"/>
    <cellStyle name="Normal 3" xfId="4" xr:uid="{146B0F68-4BA2-4349-ACBD-060DAFD49CD9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6BAF040-E7A0-4CA8-A80A-9C3200B91771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6BAF040-E7A0-4CA8-A80A-9C3200B91771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284AC1-1ADD-4305-88BA-A67481F8BC0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284AC1-1ADD-4305-88BA-A67481F8BC0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7E960DA-6976-49A2-8FAA-90802815FEA5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7E960DA-6976-49A2-8FAA-90802815FEA5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ACBA3F-95B4-4E3C-BE47-3DB19290C03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ACBA3F-95B4-4E3C-BE47-3DB19290C03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613B413-AE0D-48B4-8AF0-684B4D2079B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613B413-AE0D-48B4-8AF0-684B4D2079B6}"/>
                </a:ext>
              </a:extLst>
            </xdr:cNvPr>
            <xdr:cNvSpPr txBox="1"/>
          </xdr:nvSpPr>
          <xdr:spPr>
            <a:xfrm>
              <a:off x="2143133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&#3615;&#3629;&#3619;&#3660;&#3617;&#3619;&#3634;&#3618;&#3591;&#3634;&#3609;%20&#3611;&#3637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ทุกเดือน งบ67"/>
      <sheetName val="smes ต.ค. 67 "/>
      <sheetName val="แบบ สขร. ต.ค. 67 "/>
      <sheetName val="smes พ.ย. 67"/>
      <sheetName val="แบบ สขร. พ.ย. 67 "/>
      <sheetName val="smes ธ.ค. 67"/>
      <sheetName val="แบบ สขร. ธ.ค. 67"/>
      <sheetName val="smes ม.ค. 68"/>
      <sheetName val="แบบ สขร. ม.ค. 68 "/>
      <sheetName val="smes ก.พ. 68"/>
      <sheetName val="แบบ สขร. ก.พ. 68"/>
      <sheetName val="smes มี.ค. 68"/>
      <sheetName val="แบบ สขร. มี.ค. 68"/>
      <sheetName val="smes เม.ย. 68"/>
      <sheetName val="แบบ สขร. เม.ย. 68"/>
      <sheetName val="smes พ.ค. 68"/>
      <sheetName val="แบบ สขร. พ.ค. 68"/>
      <sheetName val="smes มิ.ย. 68 "/>
      <sheetName val="แบบ สขร. มิ.ย. 68"/>
      <sheetName val="smes ก.ค. 68"/>
      <sheetName val="แบบ สขร. ก.ค. 68"/>
      <sheetName val="smes ส.ค. 68"/>
      <sheetName val="แบบ สขร. ส.ค. 68"/>
      <sheetName val="smes ก.ย. 68"/>
      <sheetName val="แบบ สขร. ก.ย. 68"/>
      <sheetName val="รวมทุกเดือน งบ68"/>
    </sheetNames>
    <sheetDataSet>
      <sheetData sheetId="0"/>
      <sheetData sheetId="1"/>
      <sheetData sheetId="2">
        <row r="8">
          <cell r="I8">
            <v>49220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7062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36487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8819.99</v>
          </cell>
        </row>
        <row r="21">
          <cell r="I21"/>
        </row>
        <row r="22">
          <cell r="I22"/>
        </row>
        <row r="23">
          <cell r="I23"/>
        </row>
        <row r="24">
          <cell r="I24">
            <v>124000.01</v>
          </cell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>
            <v>372695</v>
          </cell>
        </row>
        <row r="31">
          <cell r="I31"/>
        </row>
        <row r="32">
          <cell r="I32"/>
        </row>
        <row r="33">
          <cell r="I33"/>
        </row>
        <row r="34">
          <cell r="I34">
            <v>216981</v>
          </cell>
        </row>
        <row r="35">
          <cell r="I35"/>
        </row>
        <row r="36">
          <cell r="I36"/>
        </row>
        <row r="37">
          <cell r="I37"/>
        </row>
        <row r="38">
          <cell r="I38">
            <v>364057.87</v>
          </cell>
        </row>
        <row r="39">
          <cell r="I39"/>
        </row>
        <row r="40">
          <cell r="I40"/>
        </row>
        <row r="41">
          <cell r="I41"/>
        </row>
        <row r="42">
          <cell r="I42">
            <v>14202.48</v>
          </cell>
        </row>
        <row r="43">
          <cell r="I43"/>
        </row>
        <row r="44">
          <cell r="I44"/>
        </row>
        <row r="45">
          <cell r="I45"/>
        </row>
        <row r="46">
          <cell r="I46">
            <v>474459</v>
          </cell>
        </row>
        <row r="47">
          <cell r="I47"/>
        </row>
        <row r="48">
          <cell r="I48"/>
        </row>
        <row r="49">
          <cell r="I49"/>
        </row>
        <row r="50">
          <cell r="I50">
            <v>1667984.35</v>
          </cell>
        </row>
        <row r="60">
          <cell r="I60">
            <v>8051740</v>
          </cell>
        </row>
        <row r="61">
          <cell r="I61"/>
        </row>
        <row r="62">
          <cell r="I62"/>
        </row>
        <row r="63">
          <cell r="I63"/>
        </row>
        <row r="64">
          <cell r="I64">
            <v>2074848.77</v>
          </cell>
        </row>
        <row r="65">
          <cell r="I65"/>
        </row>
        <row r="66">
          <cell r="I66"/>
        </row>
        <row r="67">
          <cell r="I67"/>
        </row>
        <row r="68">
          <cell r="I68">
            <v>10126588.77</v>
          </cell>
        </row>
      </sheetData>
      <sheetData sheetId="3"/>
      <sheetData sheetId="4">
        <row r="8">
          <cell r="I8">
            <v>440409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221090</v>
          </cell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>
            <v>661499</v>
          </cell>
        </row>
        <row r="27">
          <cell r="I27">
            <v>998726.23</v>
          </cell>
        </row>
        <row r="28">
          <cell r="I28"/>
        </row>
        <row r="29">
          <cell r="I29"/>
        </row>
        <row r="30">
          <cell r="I30"/>
        </row>
        <row r="31">
          <cell r="I31">
            <v>998726.23</v>
          </cell>
        </row>
        <row r="41">
          <cell r="I41">
            <v>1915482.97</v>
          </cell>
        </row>
        <row r="42">
          <cell r="I42"/>
        </row>
        <row r="43">
          <cell r="I43"/>
        </row>
        <row r="44">
          <cell r="I44"/>
        </row>
        <row r="45">
          <cell r="I45">
            <v>1915482.97</v>
          </cell>
        </row>
      </sheetData>
      <sheetData sheetId="5"/>
      <sheetData sheetId="6">
        <row r="8">
          <cell r="I8">
            <v>128057.60000000001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9448.1</v>
          </cell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>
            <v>429822</v>
          </cell>
        </row>
        <row r="19">
          <cell r="I19"/>
        </row>
        <row r="20">
          <cell r="I20"/>
        </row>
        <row r="21">
          <cell r="I21"/>
        </row>
        <row r="22">
          <cell r="I22">
            <v>338695</v>
          </cell>
        </row>
        <row r="23">
          <cell r="I23"/>
        </row>
        <row r="24">
          <cell r="I24"/>
        </row>
        <row r="25">
          <cell r="I25"/>
        </row>
        <row r="26">
          <cell r="I26">
            <v>66090</v>
          </cell>
        </row>
        <row r="27">
          <cell r="I27"/>
        </row>
        <row r="28">
          <cell r="I28"/>
        </row>
        <row r="29">
          <cell r="I29"/>
        </row>
        <row r="30">
          <cell r="I30">
            <v>478475</v>
          </cell>
        </row>
        <row r="31">
          <cell r="I31"/>
        </row>
        <row r="32">
          <cell r="I32"/>
        </row>
        <row r="33">
          <cell r="I33"/>
        </row>
        <row r="34">
          <cell r="I34">
            <v>1450587.7</v>
          </cell>
        </row>
        <row r="44">
          <cell r="I44">
            <v>857522</v>
          </cell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>
            <v>779988</v>
          </cell>
        </row>
        <row r="50">
          <cell r="I50"/>
        </row>
        <row r="51">
          <cell r="I51"/>
        </row>
        <row r="52">
          <cell r="I52"/>
        </row>
        <row r="53">
          <cell r="I53">
            <v>799997</v>
          </cell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>
            <v>2437507</v>
          </cell>
        </row>
      </sheetData>
      <sheetData sheetId="7"/>
      <sheetData sheetId="8">
        <row r="8">
          <cell r="I8">
            <v>433363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397262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273573.32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1104198.32</v>
          </cell>
        </row>
      </sheetData>
      <sheetData sheetId="9"/>
      <sheetData sheetId="10">
        <row r="8">
          <cell r="I8">
            <v>373675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45475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41900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461050</v>
          </cell>
        </row>
        <row r="30">
          <cell r="I30">
            <v>2496972</v>
          </cell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>
            <v>2877996</v>
          </cell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>
            <v>5374968</v>
          </cell>
        </row>
      </sheetData>
      <sheetData sheetId="11"/>
      <sheetData sheetId="12">
        <row r="8">
          <cell r="I8">
            <v>1177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481733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8667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458500</v>
          </cell>
        </row>
        <row r="21">
          <cell r="I21"/>
        </row>
        <row r="22">
          <cell r="I22"/>
        </row>
        <row r="23">
          <cell r="I23"/>
        </row>
        <row r="24">
          <cell r="I24">
            <v>341745</v>
          </cell>
        </row>
        <row r="25">
          <cell r="I25"/>
        </row>
        <row r="26">
          <cell r="I26"/>
        </row>
        <row r="27">
          <cell r="I27"/>
        </row>
        <row r="28">
          <cell r="I28">
            <v>462181</v>
          </cell>
        </row>
        <row r="29">
          <cell r="I29"/>
        </row>
        <row r="30">
          <cell r="I30"/>
        </row>
        <row r="31">
          <cell r="I31"/>
        </row>
        <row r="32">
          <cell r="I32">
            <v>1754003</v>
          </cell>
        </row>
        <row r="42">
          <cell r="I42">
            <v>2787639</v>
          </cell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>
            <v>3585717</v>
          </cell>
        </row>
        <row r="54">
          <cell r="I54"/>
        </row>
        <row r="55">
          <cell r="I55"/>
        </row>
        <row r="56">
          <cell r="I56"/>
        </row>
        <row r="57">
          <cell r="I57">
            <v>6373356</v>
          </cell>
        </row>
      </sheetData>
      <sheetData sheetId="13"/>
      <sheetData sheetId="14">
        <row r="8">
          <cell r="I8">
            <v>63804.1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>
            <v>3124.4</v>
          </cell>
        </row>
        <row r="14">
          <cell r="I14"/>
        </row>
        <row r="15">
          <cell r="I15"/>
        </row>
        <row r="16">
          <cell r="I16"/>
        </row>
        <row r="17">
          <cell r="I17">
            <v>4499.3500000000004</v>
          </cell>
        </row>
        <row r="18">
          <cell r="I18"/>
        </row>
        <row r="19">
          <cell r="I19"/>
        </row>
        <row r="20">
          <cell r="I20"/>
        </row>
        <row r="21">
          <cell r="I21">
            <v>71427.850000000006</v>
          </cell>
        </row>
        <row r="31">
          <cell r="I31">
            <v>3576105</v>
          </cell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>
            <v>8194966</v>
          </cell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>
            <v>11771071</v>
          </cell>
        </row>
      </sheetData>
      <sheetData sheetId="15"/>
      <sheetData sheetId="16">
        <row r="8">
          <cell r="I8">
            <v>502144.58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8979937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3097536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12579617.58</v>
          </cell>
        </row>
      </sheetData>
      <sheetData sheetId="17"/>
      <sheetData sheetId="18">
        <row r="8">
          <cell r="I8">
            <v>489218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489752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2675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488704</v>
          </cell>
        </row>
        <row r="21">
          <cell r="I21"/>
        </row>
        <row r="22">
          <cell r="I22"/>
        </row>
        <row r="23">
          <cell r="I23"/>
        </row>
        <row r="24">
          <cell r="I24">
            <v>1470349</v>
          </cell>
        </row>
        <row r="34">
          <cell r="I34">
            <v>1668996</v>
          </cell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>
            <v>1668996</v>
          </cell>
        </row>
      </sheetData>
      <sheetData sheetId="19"/>
      <sheetData sheetId="20">
        <row r="8">
          <cell r="I8">
            <v>419189.09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419189.09</v>
          </cell>
        </row>
        <row r="22">
          <cell r="I22">
            <v>2999691</v>
          </cell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>
            <v>8197226</v>
          </cell>
        </row>
        <row r="28">
          <cell r="I28"/>
        </row>
        <row r="29">
          <cell r="I29"/>
        </row>
        <row r="30">
          <cell r="I30"/>
        </row>
        <row r="31">
          <cell r="I31">
            <v>11196917</v>
          </cell>
        </row>
      </sheetData>
      <sheetData sheetId="21"/>
      <sheetData sheetId="22">
        <row r="8">
          <cell r="I8">
            <v>12840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64997.15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46010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118898.4</v>
          </cell>
        </row>
        <row r="21">
          <cell r="I21"/>
        </row>
        <row r="22">
          <cell r="I22"/>
        </row>
        <row r="23">
          <cell r="I23"/>
        </row>
        <row r="24">
          <cell r="I24">
            <v>6077.6</v>
          </cell>
        </row>
        <row r="25">
          <cell r="I25"/>
        </row>
        <row r="26">
          <cell r="I26"/>
        </row>
        <row r="27">
          <cell r="I27"/>
        </row>
        <row r="28">
          <cell r="I28">
            <v>248823.15</v>
          </cell>
        </row>
      </sheetData>
      <sheetData sheetId="23"/>
      <sheetData sheetId="24">
        <row r="8">
          <cell r="I8">
            <v>26750</v>
          </cell>
        </row>
        <row r="9">
          <cell r="I9"/>
        </row>
        <row r="10">
          <cell r="I10"/>
        </row>
        <row r="11">
          <cell r="I11"/>
        </row>
        <row r="12">
          <cell r="I12">
            <v>489005</v>
          </cell>
        </row>
        <row r="13">
          <cell r="I13"/>
        </row>
        <row r="14">
          <cell r="I14"/>
        </row>
        <row r="15">
          <cell r="I15"/>
        </row>
        <row r="16">
          <cell r="I16">
            <v>39975.199999999997</v>
          </cell>
        </row>
        <row r="17">
          <cell r="I17"/>
        </row>
        <row r="18">
          <cell r="I18"/>
        </row>
        <row r="19">
          <cell r="I19"/>
        </row>
        <row r="20">
          <cell r="I20">
            <v>22170.400000000001</v>
          </cell>
        </row>
        <row r="21">
          <cell r="I21"/>
        </row>
        <row r="22">
          <cell r="I22"/>
        </row>
        <row r="23">
          <cell r="I23"/>
        </row>
        <row r="24">
          <cell r="I24">
            <v>2568</v>
          </cell>
        </row>
        <row r="25">
          <cell r="I25"/>
        </row>
        <row r="26">
          <cell r="I26"/>
        </row>
        <row r="27">
          <cell r="I27"/>
        </row>
        <row r="28">
          <cell r="I28">
            <v>25680</v>
          </cell>
        </row>
        <row r="29">
          <cell r="I29"/>
        </row>
        <row r="30">
          <cell r="I30"/>
        </row>
        <row r="31">
          <cell r="I31"/>
        </row>
        <row r="32">
          <cell r="I32">
            <v>135109</v>
          </cell>
        </row>
        <row r="33">
          <cell r="I33"/>
        </row>
        <row r="34">
          <cell r="I34"/>
        </row>
        <row r="35">
          <cell r="I35"/>
        </row>
        <row r="36">
          <cell r="I36">
            <v>741257.6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20EE-70BF-414B-B820-4440CAD4E1A2}">
  <sheetPr>
    <tabColor theme="8" tint="0.39997558519241921"/>
    <pageSetUpPr fitToPage="1"/>
  </sheetPr>
  <dimension ref="A1:U463"/>
  <sheetViews>
    <sheetView view="pageBreakPreview" topLeftCell="A48" zoomScale="60" zoomScaleNormal="85" workbookViewId="0">
      <selection activeCell="T68" sqref="T68"/>
    </sheetView>
  </sheetViews>
  <sheetFormatPr defaultColWidth="8.75" defaultRowHeight="20.25"/>
  <cols>
    <col min="1" max="1" width="6.625" style="131" customWidth="1"/>
    <col min="2" max="2" width="47.375" style="131" customWidth="1"/>
    <col min="3" max="3" width="14.75" style="184" customWidth="1"/>
    <col min="4" max="4" width="15.375" style="184" customWidth="1"/>
    <col min="5" max="5" width="12.625" style="131" customWidth="1"/>
    <col min="6" max="6" width="26.25" style="131" customWidth="1"/>
    <col min="7" max="7" width="16.25" style="184" customWidth="1"/>
    <col min="8" max="8" width="23" style="131" customWidth="1"/>
    <col min="9" max="9" width="17.25" style="184" customWidth="1"/>
    <col min="10" max="10" width="21.375" style="143" customWidth="1"/>
    <col min="11" max="11" width="31.875" style="143" customWidth="1"/>
    <col min="12" max="12" width="20.25" style="131" customWidth="1"/>
    <col min="13" max="14" width="9.75" style="131" customWidth="1"/>
    <col min="15" max="15" width="12.875" style="131" customWidth="1"/>
    <col min="16" max="16" width="13.125" style="131" customWidth="1"/>
    <col min="17" max="17" width="3.625" style="131" customWidth="1"/>
    <col min="18" max="18" width="10.875" style="131" customWidth="1"/>
    <col min="19" max="19" width="17.25" style="131" customWidth="1"/>
    <col min="20" max="20" width="17.875" style="131" customWidth="1"/>
    <col min="21" max="21" width="20" style="131" customWidth="1"/>
    <col min="22" max="22" width="22" style="131" customWidth="1"/>
    <col min="23" max="16384" width="8.75" style="131"/>
  </cols>
  <sheetData>
    <row r="1" spans="1:21" s="126" customFormat="1" ht="18.75">
      <c r="A1" s="410" t="s">
        <v>109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21" s="126" customFormat="1" ht="18.75">
      <c r="A2" s="410" t="s">
        <v>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21" s="126" customFormat="1" ht="18.75">
      <c r="A3" s="410" t="s">
        <v>110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</row>
    <row r="6" spans="1:21" s="126" customFormat="1" ht="18.75">
      <c r="A6" s="411" t="s">
        <v>36</v>
      </c>
      <c r="B6" s="411" t="s">
        <v>111</v>
      </c>
      <c r="C6" s="412" t="s">
        <v>112</v>
      </c>
      <c r="D6" s="412" t="s">
        <v>113</v>
      </c>
      <c r="E6" s="413" t="s">
        <v>40</v>
      </c>
      <c r="F6" s="414" t="s">
        <v>41</v>
      </c>
      <c r="G6" s="414"/>
      <c r="H6" s="405" t="s">
        <v>114</v>
      </c>
      <c r="I6" s="405"/>
      <c r="J6" s="405" t="s">
        <v>115</v>
      </c>
      <c r="K6" s="405" t="s">
        <v>116</v>
      </c>
      <c r="L6" s="406" t="s">
        <v>117</v>
      </c>
      <c r="M6" s="407" t="s">
        <v>46</v>
      </c>
      <c r="N6" s="408"/>
      <c r="O6" s="409" t="s">
        <v>118</v>
      </c>
      <c r="P6" s="409" t="s">
        <v>119</v>
      </c>
    </row>
    <row r="7" spans="1:21" s="126" customFormat="1" ht="37.5">
      <c r="A7" s="411"/>
      <c r="B7" s="411"/>
      <c r="C7" s="412"/>
      <c r="D7" s="412"/>
      <c r="E7" s="413"/>
      <c r="F7" s="127" t="s">
        <v>49</v>
      </c>
      <c r="G7" s="128" t="s">
        <v>120</v>
      </c>
      <c r="H7" s="128" t="s">
        <v>51</v>
      </c>
      <c r="I7" s="128" t="s">
        <v>121</v>
      </c>
      <c r="J7" s="405"/>
      <c r="K7" s="405"/>
      <c r="L7" s="406"/>
      <c r="M7" s="129" t="s">
        <v>53</v>
      </c>
      <c r="N7" s="130" t="s">
        <v>54</v>
      </c>
      <c r="O7" s="409"/>
      <c r="P7" s="409"/>
    </row>
    <row r="8" spans="1:21" ht="27" customHeight="1">
      <c r="A8" s="364">
        <v>1</v>
      </c>
      <c r="B8" s="94" t="s">
        <v>122</v>
      </c>
      <c r="C8" s="404">
        <v>47100</v>
      </c>
      <c r="D8" s="404">
        <v>49220</v>
      </c>
      <c r="E8" s="364" t="s">
        <v>56</v>
      </c>
      <c r="F8" s="366" t="s">
        <v>123</v>
      </c>
      <c r="G8" s="327">
        <v>49220</v>
      </c>
      <c r="H8" s="366" t="s">
        <v>123</v>
      </c>
      <c r="I8" s="391">
        <v>49220</v>
      </c>
      <c r="J8" s="88"/>
      <c r="K8" s="88"/>
      <c r="L8" s="330" t="s">
        <v>124</v>
      </c>
      <c r="M8" s="333"/>
      <c r="N8" s="333" t="s">
        <v>59</v>
      </c>
      <c r="O8" s="336">
        <v>243892</v>
      </c>
      <c r="P8" s="319" t="s">
        <v>125</v>
      </c>
      <c r="S8" s="132"/>
      <c r="U8" s="133"/>
    </row>
    <row r="9" spans="1:21" ht="27" customHeight="1">
      <c r="A9" s="340"/>
      <c r="B9" s="97" t="s">
        <v>126</v>
      </c>
      <c r="C9" s="399"/>
      <c r="D9" s="399"/>
      <c r="E9" s="360"/>
      <c r="F9" s="367"/>
      <c r="G9" s="328"/>
      <c r="H9" s="367"/>
      <c r="I9" s="392"/>
      <c r="J9" s="98" t="s">
        <v>61</v>
      </c>
      <c r="K9" s="100" t="s">
        <v>127</v>
      </c>
      <c r="L9" s="331"/>
      <c r="M9" s="334"/>
      <c r="N9" s="334"/>
      <c r="O9" s="337"/>
      <c r="P9" s="320"/>
      <c r="S9" s="132"/>
      <c r="U9" s="133"/>
    </row>
    <row r="10" spans="1:21" ht="27" customHeight="1">
      <c r="A10" s="340"/>
      <c r="B10" s="97"/>
      <c r="C10" s="399"/>
      <c r="D10" s="399"/>
      <c r="E10" s="360"/>
      <c r="F10" s="98" t="s">
        <v>128</v>
      </c>
      <c r="G10" s="99">
        <v>54570</v>
      </c>
      <c r="H10" s="367"/>
      <c r="I10" s="392"/>
      <c r="J10" s="98" t="s">
        <v>65</v>
      </c>
      <c r="K10" s="97" t="s">
        <v>129</v>
      </c>
      <c r="L10" s="331"/>
      <c r="M10" s="334"/>
      <c r="N10" s="334"/>
      <c r="O10" s="337"/>
      <c r="P10" s="320"/>
      <c r="S10" s="132"/>
      <c r="U10" s="133"/>
    </row>
    <row r="11" spans="1:21" ht="27" customHeight="1">
      <c r="A11" s="341"/>
      <c r="B11" s="134"/>
      <c r="C11" s="400"/>
      <c r="D11" s="400"/>
      <c r="E11" s="361"/>
      <c r="F11" s="103" t="s">
        <v>130</v>
      </c>
      <c r="G11" s="135">
        <v>59920</v>
      </c>
      <c r="H11" s="368"/>
      <c r="I11" s="393"/>
      <c r="J11" s="134"/>
      <c r="K11" s="134"/>
      <c r="L11" s="332"/>
      <c r="M11" s="335"/>
      <c r="N11" s="335"/>
      <c r="O11" s="338"/>
      <c r="P11" s="321"/>
      <c r="S11" s="132"/>
      <c r="U11" s="133"/>
    </row>
    <row r="12" spans="1:21" ht="27" customHeight="1">
      <c r="A12" s="339">
        <v>2</v>
      </c>
      <c r="B12" s="94" t="s">
        <v>131</v>
      </c>
      <c r="C12" s="342">
        <v>7500</v>
      </c>
      <c r="D12" s="342">
        <v>7062</v>
      </c>
      <c r="E12" s="364" t="s">
        <v>56</v>
      </c>
      <c r="F12" s="105" t="s">
        <v>132</v>
      </c>
      <c r="G12" s="89">
        <v>7062</v>
      </c>
      <c r="H12" s="324" t="s">
        <v>132</v>
      </c>
      <c r="I12" s="327">
        <v>7062</v>
      </c>
      <c r="J12" s="88"/>
      <c r="K12" s="88"/>
      <c r="L12" s="330" t="s">
        <v>133</v>
      </c>
      <c r="M12" s="333" t="s">
        <v>59</v>
      </c>
      <c r="N12" s="345"/>
      <c r="O12" s="336">
        <v>243892</v>
      </c>
      <c r="P12" s="319" t="s">
        <v>125</v>
      </c>
      <c r="S12" s="132"/>
      <c r="U12" s="133"/>
    </row>
    <row r="13" spans="1:21" ht="27" customHeight="1">
      <c r="A13" s="340"/>
      <c r="B13" s="97" t="s">
        <v>134</v>
      </c>
      <c r="C13" s="343"/>
      <c r="D13" s="343"/>
      <c r="E13" s="360"/>
      <c r="F13" s="107" t="s">
        <v>135</v>
      </c>
      <c r="G13" s="99">
        <v>7297.4</v>
      </c>
      <c r="H13" s="325"/>
      <c r="I13" s="328"/>
      <c r="J13" s="98" t="s">
        <v>61</v>
      </c>
      <c r="K13" s="100" t="s">
        <v>136</v>
      </c>
      <c r="L13" s="331"/>
      <c r="M13" s="334"/>
      <c r="N13" s="346"/>
      <c r="O13" s="337"/>
      <c r="P13" s="320"/>
      <c r="S13" s="132"/>
      <c r="U13" s="133"/>
    </row>
    <row r="14" spans="1:21" ht="27" customHeight="1">
      <c r="A14" s="340"/>
      <c r="B14" s="97"/>
      <c r="C14" s="343"/>
      <c r="D14" s="343"/>
      <c r="E14" s="360"/>
      <c r="F14" s="348" t="s">
        <v>137</v>
      </c>
      <c r="G14" s="350">
        <v>7543.5</v>
      </c>
      <c r="H14" s="325"/>
      <c r="I14" s="328"/>
      <c r="J14" s="98" t="s">
        <v>65</v>
      </c>
      <c r="K14" s="97" t="s">
        <v>129</v>
      </c>
      <c r="L14" s="331"/>
      <c r="M14" s="334"/>
      <c r="N14" s="346"/>
      <c r="O14" s="337"/>
      <c r="P14" s="320"/>
      <c r="S14" s="132"/>
      <c r="U14" s="133"/>
    </row>
    <row r="15" spans="1:21" ht="27" customHeight="1">
      <c r="A15" s="341"/>
      <c r="B15" s="102"/>
      <c r="C15" s="344"/>
      <c r="D15" s="344"/>
      <c r="E15" s="361"/>
      <c r="F15" s="349"/>
      <c r="G15" s="351"/>
      <c r="H15" s="326"/>
      <c r="I15" s="329"/>
      <c r="J15" s="134"/>
      <c r="K15" s="134"/>
      <c r="L15" s="332"/>
      <c r="M15" s="335"/>
      <c r="N15" s="347"/>
      <c r="O15" s="338"/>
      <c r="P15" s="321"/>
      <c r="S15" s="132"/>
      <c r="U15" s="133"/>
    </row>
    <row r="16" spans="1:21" ht="27" customHeight="1">
      <c r="A16" s="339">
        <v>3</v>
      </c>
      <c r="B16" s="94" t="s">
        <v>138</v>
      </c>
      <c r="C16" s="342">
        <v>78000</v>
      </c>
      <c r="D16" s="342">
        <v>36487</v>
      </c>
      <c r="E16" s="364" t="s">
        <v>56</v>
      </c>
      <c r="F16" s="88" t="s">
        <v>139</v>
      </c>
      <c r="G16" s="89">
        <v>36487</v>
      </c>
      <c r="H16" s="366" t="s">
        <v>139</v>
      </c>
      <c r="I16" s="327">
        <v>36487</v>
      </c>
      <c r="J16" s="88"/>
      <c r="K16" s="88"/>
      <c r="L16" s="330" t="s">
        <v>124</v>
      </c>
      <c r="M16" s="333" t="s">
        <v>59</v>
      </c>
      <c r="N16" s="345"/>
      <c r="O16" s="336">
        <v>243892</v>
      </c>
      <c r="P16" s="319" t="s">
        <v>125</v>
      </c>
      <c r="S16" s="132"/>
      <c r="U16" s="133"/>
    </row>
    <row r="17" spans="1:21" ht="27" customHeight="1">
      <c r="A17" s="340"/>
      <c r="B17" s="97" t="s">
        <v>140</v>
      </c>
      <c r="C17" s="343"/>
      <c r="D17" s="343"/>
      <c r="E17" s="360"/>
      <c r="F17" s="98" t="s">
        <v>141</v>
      </c>
      <c r="G17" s="99">
        <v>43620</v>
      </c>
      <c r="H17" s="367"/>
      <c r="I17" s="328"/>
      <c r="J17" s="98" t="s">
        <v>61</v>
      </c>
      <c r="K17" s="100" t="s">
        <v>142</v>
      </c>
      <c r="L17" s="331"/>
      <c r="M17" s="334"/>
      <c r="N17" s="346"/>
      <c r="O17" s="337"/>
      <c r="P17" s="320"/>
      <c r="S17" s="132"/>
      <c r="U17" s="133"/>
    </row>
    <row r="18" spans="1:21" ht="27" customHeight="1">
      <c r="A18" s="340"/>
      <c r="B18" s="97"/>
      <c r="C18" s="343"/>
      <c r="D18" s="343"/>
      <c r="E18" s="360"/>
      <c r="F18" s="348" t="s">
        <v>143</v>
      </c>
      <c r="G18" s="350">
        <v>55854</v>
      </c>
      <c r="H18" s="367"/>
      <c r="I18" s="328"/>
      <c r="J18" s="98" t="s">
        <v>65</v>
      </c>
      <c r="K18" s="97" t="s">
        <v>144</v>
      </c>
      <c r="L18" s="331"/>
      <c r="M18" s="334"/>
      <c r="N18" s="346"/>
      <c r="O18" s="337"/>
      <c r="P18" s="320"/>
      <c r="S18" s="132"/>
      <c r="U18" s="133"/>
    </row>
    <row r="19" spans="1:21" ht="27" customHeight="1">
      <c r="A19" s="341"/>
      <c r="B19" s="134"/>
      <c r="C19" s="344"/>
      <c r="D19" s="344"/>
      <c r="E19" s="361"/>
      <c r="F19" s="349"/>
      <c r="G19" s="351"/>
      <c r="H19" s="368"/>
      <c r="I19" s="329"/>
      <c r="J19" s="134"/>
      <c r="K19" s="134"/>
      <c r="L19" s="332"/>
      <c r="M19" s="335"/>
      <c r="N19" s="347"/>
      <c r="O19" s="338"/>
      <c r="P19" s="321"/>
      <c r="S19" s="132"/>
      <c r="U19" s="133"/>
    </row>
    <row r="20" spans="1:21" ht="27" customHeight="1">
      <c r="A20" s="364">
        <v>4</v>
      </c>
      <c r="B20" s="136" t="s">
        <v>145</v>
      </c>
      <c r="C20" s="342">
        <v>12000</v>
      </c>
      <c r="D20" s="342">
        <v>8820</v>
      </c>
      <c r="E20" s="364" t="s">
        <v>56</v>
      </c>
      <c r="F20" s="137" t="s">
        <v>146</v>
      </c>
      <c r="G20" s="109">
        <v>8820</v>
      </c>
      <c r="H20" s="324" t="s">
        <v>146</v>
      </c>
      <c r="I20" s="327">
        <v>8819.99</v>
      </c>
      <c r="J20" s="111"/>
      <c r="K20" s="98"/>
      <c r="L20" s="330" t="s">
        <v>124</v>
      </c>
      <c r="M20" s="333" t="s">
        <v>59</v>
      </c>
      <c r="N20" s="345"/>
      <c r="O20" s="336">
        <v>243892</v>
      </c>
      <c r="P20" s="319" t="s">
        <v>125</v>
      </c>
      <c r="S20" s="132"/>
      <c r="U20" s="133"/>
    </row>
    <row r="21" spans="1:21" ht="27" customHeight="1">
      <c r="A21" s="360"/>
      <c r="B21" s="138" t="s">
        <v>147</v>
      </c>
      <c r="C21" s="343"/>
      <c r="D21" s="343"/>
      <c r="E21" s="360"/>
      <c r="F21" s="107" t="s">
        <v>148</v>
      </c>
      <c r="G21" s="99">
        <v>8988</v>
      </c>
      <c r="H21" s="325"/>
      <c r="I21" s="328"/>
      <c r="J21" s="98" t="s">
        <v>61</v>
      </c>
      <c r="K21" s="100" t="s">
        <v>149</v>
      </c>
      <c r="L21" s="331"/>
      <c r="M21" s="334"/>
      <c r="N21" s="346"/>
      <c r="O21" s="337"/>
      <c r="P21" s="320"/>
      <c r="S21" s="132"/>
      <c r="U21" s="133"/>
    </row>
    <row r="22" spans="1:21" ht="27" customHeight="1">
      <c r="A22" s="360"/>
      <c r="B22" s="138"/>
      <c r="C22" s="343"/>
      <c r="D22" s="343"/>
      <c r="E22" s="360"/>
      <c r="F22" s="348" t="s">
        <v>150</v>
      </c>
      <c r="G22" s="350">
        <v>9320.01</v>
      </c>
      <c r="H22" s="325"/>
      <c r="I22" s="328"/>
      <c r="J22" s="98" t="s">
        <v>65</v>
      </c>
      <c r="K22" s="97" t="s">
        <v>144</v>
      </c>
      <c r="L22" s="331"/>
      <c r="M22" s="334"/>
      <c r="N22" s="346"/>
      <c r="O22" s="337"/>
      <c r="P22" s="320"/>
      <c r="S22" s="132"/>
      <c r="U22" s="133"/>
    </row>
    <row r="23" spans="1:21" ht="27" customHeight="1">
      <c r="A23" s="361"/>
      <c r="B23" s="112"/>
      <c r="C23" s="344"/>
      <c r="D23" s="344"/>
      <c r="E23" s="361"/>
      <c r="F23" s="348"/>
      <c r="G23" s="350"/>
      <c r="H23" s="325"/>
      <c r="I23" s="328"/>
      <c r="J23" s="139"/>
      <c r="K23" s="97"/>
      <c r="L23" s="331"/>
      <c r="M23" s="334"/>
      <c r="N23" s="346"/>
      <c r="O23" s="338"/>
      <c r="P23" s="321"/>
      <c r="S23" s="132"/>
      <c r="U23" s="133"/>
    </row>
    <row r="24" spans="1:21" ht="27" customHeight="1">
      <c r="A24" s="360">
        <v>5</v>
      </c>
      <c r="B24" s="138" t="s">
        <v>151</v>
      </c>
      <c r="C24" s="343">
        <v>121600</v>
      </c>
      <c r="D24" s="343">
        <v>124000</v>
      </c>
      <c r="E24" s="360" t="s">
        <v>56</v>
      </c>
      <c r="F24" s="324" t="s">
        <v>152</v>
      </c>
      <c r="G24" s="327">
        <v>124000</v>
      </c>
      <c r="H24" s="324" t="s">
        <v>152</v>
      </c>
      <c r="I24" s="327">
        <v>124000.01</v>
      </c>
      <c r="J24" s="111"/>
      <c r="K24" s="96"/>
      <c r="L24" s="401" t="s">
        <v>124</v>
      </c>
      <c r="M24" s="403" t="s">
        <v>59</v>
      </c>
      <c r="N24" s="402"/>
      <c r="O24" s="378">
        <v>243892</v>
      </c>
      <c r="P24" s="319" t="s">
        <v>125</v>
      </c>
      <c r="S24" s="132"/>
      <c r="U24" s="133"/>
    </row>
    <row r="25" spans="1:21" ht="27" customHeight="1">
      <c r="A25" s="360"/>
      <c r="B25" s="138" t="s">
        <v>153</v>
      </c>
      <c r="C25" s="343"/>
      <c r="D25" s="343"/>
      <c r="E25" s="360"/>
      <c r="F25" s="325"/>
      <c r="G25" s="328"/>
      <c r="H25" s="325"/>
      <c r="I25" s="328"/>
      <c r="J25" s="139"/>
      <c r="K25" s="98"/>
      <c r="L25" s="401"/>
      <c r="M25" s="403"/>
      <c r="N25" s="402"/>
      <c r="O25" s="379"/>
      <c r="P25" s="320"/>
      <c r="S25" s="132"/>
      <c r="U25" s="133"/>
    </row>
    <row r="26" spans="1:21" ht="27" customHeight="1">
      <c r="A26" s="360"/>
      <c r="B26" s="138"/>
      <c r="C26" s="343"/>
      <c r="D26" s="343"/>
      <c r="E26" s="360"/>
      <c r="F26" s="348" t="s">
        <v>154</v>
      </c>
      <c r="G26" s="350">
        <v>130000</v>
      </c>
      <c r="H26" s="325"/>
      <c r="I26" s="328"/>
      <c r="J26" s="98" t="s">
        <v>61</v>
      </c>
      <c r="K26" s="100" t="s">
        <v>155</v>
      </c>
      <c r="L26" s="401"/>
      <c r="M26" s="403"/>
      <c r="N26" s="402"/>
      <c r="O26" s="379"/>
      <c r="P26" s="320"/>
      <c r="S26" s="132"/>
      <c r="U26" s="133"/>
    </row>
    <row r="27" spans="1:21" ht="27" customHeight="1">
      <c r="A27" s="360"/>
      <c r="B27" s="138"/>
      <c r="C27" s="343"/>
      <c r="D27" s="343"/>
      <c r="E27" s="360"/>
      <c r="F27" s="348"/>
      <c r="G27" s="350"/>
      <c r="H27" s="325"/>
      <c r="I27" s="328"/>
      <c r="J27" s="98" t="s">
        <v>65</v>
      </c>
      <c r="K27" s="97" t="s">
        <v>156</v>
      </c>
      <c r="L27" s="401"/>
      <c r="M27" s="403"/>
      <c r="N27" s="402"/>
      <c r="O27" s="379"/>
      <c r="P27" s="320"/>
      <c r="S27" s="132"/>
      <c r="U27" s="133"/>
    </row>
    <row r="28" spans="1:21" ht="27" customHeight="1">
      <c r="A28" s="360"/>
      <c r="B28" s="138"/>
      <c r="C28" s="343"/>
      <c r="D28" s="343"/>
      <c r="E28" s="360"/>
      <c r="F28" s="348" t="s">
        <v>157</v>
      </c>
      <c r="G28" s="350">
        <v>138000</v>
      </c>
      <c r="H28" s="325"/>
      <c r="I28" s="328"/>
      <c r="J28" s="98"/>
      <c r="K28" s="97"/>
      <c r="L28" s="401"/>
      <c r="M28" s="403"/>
      <c r="N28" s="402"/>
      <c r="O28" s="379"/>
      <c r="P28" s="320"/>
      <c r="S28" s="132"/>
      <c r="U28" s="133"/>
    </row>
    <row r="29" spans="1:21" ht="27" customHeight="1">
      <c r="A29" s="361"/>
      <c r="B29" s="112"/>
      <c r="C29" s="344"/>
      <c r="D29" s="344"/>
      <c r="E29" s="361"/>
      <c r="F29" s="349"/>
      <c r="G29" s="351"/>
      <c r="H29" s="326"/>
      <c r="I29" s="329"/>
      <c r="J29" s="113"/>
      <c r="K29" s="103"/>
      <c r="L29" s="401"/>
      <c r="M29" s="403"/>
      <c r="N29" s="402"/>
      <c r="O29" s="380"/>
      <c r="P29" s="321"/>
      <c r="S29" s="132"/>
      <c r="U29" s="133"/>
    </row>
    <row r="30" spans="1:21" ht="27" customHeight="1">
      <c r="A30" s="364">
        <v>6</v>
      </c>
      <c r="B30" s="138" t="s">
        <v>67</v>
      </c>
      <c r="C30" s="342">
        <v>380000</v>
      </c>
      <c r="D30" s="342">
        <v>380438</v>
      </c>
      <c r="E30" s="364" t="s">
        <v>56</v>
      </c>
      <c r="F30" s="324" t="s">
        <v>158</v>
      </c>
      <c r="G30" s="327">
        <v>372695</v>
      </c>
      <c r="H30" s="324" t="s">
        <v>158</v>
      </c>
      <c r="I30" s="327">
        <v>372695</v>
      </c>
      <c r="J30" s="139"/>
      <c r="K30" s="98"/>
      <c r="L30" s="401" t="s">
        <v>159</v>
      </c>
      <c r="M30" s="333" t="s">
        <v>59</v>
      </c>
      <c r="N30" s="402"/>
      <c r="O30" s="336">
        <v>243892</v>
      </c>
      <c r="P30" s="319" t="s">
        <v>125</v>
      </c>
      <c r="S30" s="132"/>
      <c r="U30" s="133"/>
    </row>
    <row r="31" spans="1:21" ht="27" customHeight="1">
      <c r="A31" s="360"/>
      <c r="B31" s="138" t="s">
        <v>160</v>
      </c>
      <c r="C31" s="343"/>
      <c r="D31" s="343"/>
      <c r="E31" s="360"/>
      <c r="F31" s="325"/>
      <c r="G31" s="328"/>
      <c r="H31" s="325"/>
      <c r="I31" s="328"/>
      <c r="J31" s="98" t="s">
        <v>71</v>
      </c>
      <c r="K31" s="100" t="s">
        <v>161</v>
      </c>
      <c r="L31" s="401"/>
      <c r="M31" s="334"/>
      <c r="N31" s="402"/>
      <c r="O31" s="337"/>
      <c r="P31" s="320"/>
      <c r="S31" s="132"/>
      <c r="U31" s="133"/>
    </row>
    <row r="32" spans="1:21" ht="27" customHeight="1">
      <c r="A32" s="360"/>
      <c r="B32" s="138" t="s">
        <v>162</v>
      </c>
      <c r="C32" s="343"/>
      <c r="D32" s="343"/>
      <c r="E32" s="360"/>
      <c r="F32" s="325"/>
      <c r="G32" s="328"/>
      <c r="H32" s="325"/>
      <c r="I32" s="328"/>
      <c r="J32" s="98" t="s">
        <v>65</v>
      </c>
      <c r="K32" s="97" t="s">
        <v>163</v>
      </c>
      <c r="L32" s="401"/>
      <c r="M32" s="334"/>
      <c r="N32" s="402"/>
      <c r="O32" s="337"/>
      <c r="P32" s="320"/>
      <c r="S32" s="132"/>
      <c r="U32" s="133"/>
    </row>
    <row r="33" spans="1:21" ht="27" customHeight="1">
      <c r="A33" s="361"/>
      <c r="B33" s="112"/>
      <c r="C33" s="344"/>
      <c r="D33" s="344"/>
      <c r="E33" s="361"/>
      <c r="F33" s="326"/>
      <c r="G33" s="329"/>
      <c r="H33" s="326"/>
      <c r="I33" s="329"/>
      <c r="J33" s="113"/>
      <c r="K33" s="103"/>
      <c r="L33" s="401"/>
      <c r="M33" s="335"/>
      <c r="N33" s="402"/>
      <c r="O33" s="338"/>
      <c r="P33" s="321"/>
      <c r="S33" s="132"/>
      <c r="U33" s="133"/>
    </row>
    <row r="34" spans="1:21" ht="24" customHeight="1">
      <c r="A34" s="364">
        <v>7</v>
      </c>
      <c r="B34" s="138" t="s">
        <v>164</v>
      </c>
      <c r="C34" s="342">
        <v>210000</v>
      </c>
      <c r="D34" s="342">
        <v>221406</v>
      </c>
      <c r="E34" s="364" t="s">
        <v>56</v>
      </c>
      <c r="F34" s="324" t="s">
        <v>158</v>
      </c>
      <c r="G34" s="327">
        <v>216981</v>
      </c>
      <c r="H34" s="324" t="s">
        <v>158</v>
      </c>
      <c r="I34" s="327">
        <v>216981</v>
      </c>
      <c r="J34" s="139"/>
      <c r="K34" s="98"/>
      <c r="L34" s="331" t="s">
        <v>165</v>
      </c>
      <c r="M34" s="333" t="s">
        <v>59</v>
      </c>
      <c r="N34" s="346"/>
      <c r="O34" s="336">
        <v>243892</v>
      </c>
      <c r="P34" s="319" t="s">
        <v>125</v>
      </c>
      <c r="U34" s="140"/>
    </row>
    <row r="35" spans="1:21" ht="24" customHeight="1">
      <c r="A35" s="360"/>
      <c r="B35" s="138" t="s">
        <v>166</v>
      </c>
      <c r="C35" s="343"/>
      <c r="D35" s="343"/>
      <c r="E35" s="360"/>
      <c r="F35" s="325"/>
      <c r="G35" s="328"/>
      <c r="H35" s="325"/>
      <c r="I35" s="328"/>
      <c r="J35" s="98" t="s">
        <v>71</v>
      </c>
      <c r="K35" s="100" t="s">
        <v>167</v>
      </c>
      <c r="L35" s="331"/>
      <c r="M35" s="334"/>
      <c r="N35" s="346"/>
      <c r="O35" s="337"/>
      <c r="P35" s="320"/>
    </row>
    <row r="36" spans="1:21" ht="24" customHeight="1">
      <c r="A36" s="360"/>
      <c r="B36" s="138" t="s">
        <v>168</v>
      </c>
      <c r="C36" s="343"/>
      <c r="D36" s="343"/>
      <c r="E36" s="360"/>
      <c r="F36" s="325"/>
      <c r="G36" s="328"/>
      <c r="H36" s="325"/>
      <c r="I36" s="328"/>
      <c r="J36" s="98" t="s">
        <v>65</v>
      </c>
      <c r="K36" s="97" t="s">
        <v>169</v>
      </c>
      <c r="L36" s="331"/>
      <c r="M36" s="334"/>
      <c r="N36" s="346"/>
      <c r="O36" s="337"/>
      <c r="P36" s="320"/>
    </row>
    <row r="37" spans="1:21" ht="24" customHeight="1">
      <c r="A37" s="361"/>
      <c r="B37" s="112"/>
      <c r="C37" s="344"/>
      <c r="D37" s="344"/>
      <c r="E37" s="361"/>
      <c r="F37" s="326"/>
      <c r="G37" s="329"/>
      <c r="H37" s="326"/>
      <c r="I37" s="329"/>
      <c r="J37" s="113"/>
      <c r="K37" s="103"/>
      <c r="L37" s="331"/>
      <c r="M37" s="335"/>
      <c r="N37" s="346"/>
      <c r="O37" s="338"/>
      <c r="P37" s="321"/>
    </row>
    <row r="38" spans="1:21" ht="24" customHeight="1">
      <c r="A38" s="364">
        <v>8</v>
      </c>
      <c r="B38" s="138" t="s">
        <v>170</v>
      </c>
      <c r="C38" s="342">
        <v>346838</v>
      </c>
      <c r="D38" s="342">
        <v>371116.66</v>
      </c>
      <c r="E38" s="364" t="s">
        <v>56</v>
      </c>
      <c r="F38" s="324" t="s">
        <v>171</v>
      </c>
      <c r="G38" s="327">
        <v>364057.87</v>
      </c>
      <c r="H38" s="324" t="s">
        <v>171</v>
      </c>
      <c r="I38" s="327">
        <v>364057.87</v>
      </c>
      <c r="J38" s="139"/>
      <c r="K38" s="98"/>
      <c r="L38" s="401" t="s">
        <v>172</v>
      </c>
      <c r="M38" s="334" t="s">
        <v>59</v>
      </c>
      <c r="N38" s="402"/>
      <c r="O38" s="336">
        <v>243892</v>
      </c>
      <c r="P38" s="319" t="s">
        <v>125</v>
      </c>
    </row>
    <row r="39" spans="1:21" ht="24" customHeight="1">
      <c r="A39" s="360"/>
      <c r="B39" s="138" t="s">
        <v>173</v>
      </c>
      <c r="C39" s="343"/>
      <c r="D39" s="343"/>
      <c r="E39" s="360"/>
      <c r="F39" s="325"/>
      <c r="G39" s="328"/>
      <c r="H39" s="325"/>
      <c r="I39" s="328"/>
      <c r="J39" s="98" t="s">
        <v>71</v>
      </c>
      <c r="K39" s="100" t="s">
        <v>174</v>
      </c>
      <c r="L39" s="401"/>
      <c r="M39" s="334"/>
      <c r="N39" s="402"/>
      <c r="O39" s="337"/>
      <c r="P39" s="320"/>
    </row>
    <row r="40" spans="1:21" ht="24" customHeight="1">
      <c r="A40" s="360"/>
      <c r="B40" s="138" t="s">
        <v>175</v>
      </c>
      <c r="C40" s="343"/>
      <c r="D40" s="343"/>
      <c r="E40" s="360"/>
      <c r="F40" s="325"/>
      <c r="G40" s="328"/>
      <c r="H40" s="325"/>
      <c r="I40" s="328"/>
      <c r="J40" s="98" t="s">
        <v>65</v>
      </c>
      <c r="K40" s="97" t="s">
        <v>169</v>
      </c>
      <c r="L40" s="401"/>
      <c r="M40" s="334"/>
      <c r="N40" s="402"/>
      <c r="O40" s="337"/>
      <c r="P40" s="320"/>
    </row>
    <row r="41" spans="1:21" ht="24" customHeight="1">
      <c r="A41" s="361"/>
      <c r="B41" s="112"/>
      <c r="C41" s="344"/>
      <c r="D41" s="344"/>
      <c r="E41" s="361"/>
      <c r="F41" s="326"/>
      <c r="G41" s="329"/>
      <c r="H41" s="326"/>
      <c r="I41" s="329"/>
      <c r="J41" s="113"/>
      <c r="K41" s="103"/>
      <c r="L41" s="401"/>
      <c r="M41" s="335"/>
      <c r="N41" s="402"/>
      <c r="O41" s="338"/>
      <c r="P41" s="321"/>
    </row>
    <row r="42" spans="1:21" ht="24" customHeight="1">
      <c r="A42" s="364">
        <v>9</v>
      </c>
      <c r="B42" s="94" t="s">
        <v>176</v>
      </c>
      <c r="C42" s="342">
        <v>13971.95</v>
      </c>
      <c r="D42" s="342">
        <v>14949.99</v>
      </c>
      <c r="E42" s="364" t="s">
        <v>56</v>
      </c>
      <c r="F42" s="88" t="s">
        <v>150</v>
      </c>
      <c r="G42" s="89">
        <v>14949.99</v>
      </c>
      <c r="H42" s="324" t="s">
        <v>150</v>
      </c>
      <c r="I42" s="327">
        <v>14202.48</v>
      </c>
      <c r="J42" s="96"/>
      <c r="K42" s="96"/>
      <c r="L42" s="330" t="s">
        <v>124</v>
      </c>
      <c r="M42" s="333"/>
      <c r="N42" s="333" t="s">
        <v>59</v>
      </c>
      <c r="O42" s="336">
        <v>243892</v>
      </c>
      <c r="P42" s="319" t="s">
        <v>125</v>
      </c>
    </row>
    <row r="43" spans="1:21" ht="24" customHeight="1">
      <c r="A43" s="360"/>
      <c r="B43" s="97" t="s">
        <v>177</v>
      </c>
      <c r="C43" s="343"/>
      <c r="D43" s="343"/>
      <c r="E43" s="360"/>
      <c r="F43" s="107" t="s">
        <v>178</v>
      </c>
      <c r="G43" s="99">
        <v>15996.5</v>
      </c>
      <c r="H43" s="325"/>
      <c r="I43" s="328"/>
      <c r="J43" s="98" t="s">
        <v>61</v>
      </c>
      <c r="K43" s="100" t="s">
        <v>179</v>
      </c>
      <c r="L43" s="331"/>
      <c r="M43" s="334"/>
      <c r="N43" s="334"/>
      <c r="O43" s="337"/>
      <c r="P43" s="320"/>
    </row>
    <row r="44" spans="1:21" ht="24" customHeight="1">
      <c r="A44" s="360"/>
      <c r="B44" s="97"/>
      <c r="C44" s="343"/>
      <c r="D44" s="343"/>
      <c r="E44" s="360"/>
      <c r="F44" s="348" t="s">
        <v>180</v>
      </c>
      <c r="G44" s="350">
        <v>14950</v>
      </c>
      <c r="H44" s="325"/>
      <c r="I44" s="328"/>
      <c r="J44" s="98" t="s">
        <v>65</v>
      </c>
      <c r="K44" s="97" t="s">
        <v>181</v>
      </c>
      <c r="L44" s="331"/>
      <c r="M44" s="334"/>
      <c r="N44" s="334"/>
      <c r="O44" s="337"/>
      <c r="P44" s="320"/>
    </row>
    <row r="45" spans="1:21" ht="24" customHeight="1">
      <c r="A45" s="361"/>
      <c r="B45" s="102"/>
      <c r="C45" s="344"/>
      <c r="D45" s="344"/>
      <c r="E45" s="361"/>
      <c r="F45" s="349"/>
      <c r="G45" s="351"/>
      <c r="H45" s="326"/>
      <c r="I45" s="329"/>
      <c r="J45" s="103"/>
      <c r="K45" s="103"/>
      <c r="L45" s="332"/>
      <c r="M45" s="335"/>
      <c r="N45" s="335"/>
      <c r="O45" s="338"/>
      <c r="P45" s="321"/>
    </row>
    <row r="46" spans="1:21" ht="24" customHeight="1">
      <c r="A46" s="339">
        <v>10</v>
      </c>
      <c r="B46" s="94" t="s">
        <v>67</v>
      </c>
      <c r="C46" s="342">
        <v>467200</v>
      </c>
      <c r="D46" s="342">
        <v>486098</v>
      </c>
      <c r="E46" s="364" t="s">
        <v>56</v>
      </c>
      <c r="F46" s="324" t="s">
        <v>103</v>
      </c>
      <c r="G46" s="327">
        <v>474459</v>
      </c>
      <c r="H46" s="324" t="s">
        <v>103</v>
      </c>
      <c r="I46" s="327">
        <v>474459</v>
      </c>
      <c r="J46" s="88"/>
      <c r="K46" s="88"/>
      <c r="L46" s="401" t="s">
        <v>159</v>
      </c>
      <c r="M46" s="333" t="s">
        <v>59</v>
      </c>
      <c r="N46" s="333"/>
      <c r="O46" s="336">
        <v>243892</v>
      </c>
      <c r="P46" s="319" t="s">
        <v>125</v>
      </c>
    </row>
    <row r="47" spans="1:21" ht="24" customHeight="1">
      <c r="A47" s="340"/>
      <c r="B47" s="97" t="s">
        <v>160</v>
      </c>
      <c r="C47" s="343"/>
      <c r="D47" s="343"/>
      <c r="E47" s="360"/>
      <c r="F47" s="325"/>
      <c r="G47" s="328"/>
      <c r="H47" s="325"/>
      <c r="I47" s="328"/>
      <c r="J47" s="98" t="s">
        <v>71</v>
      </c>
      <c r="K47" s="100" t="s">
        <v>182</v>
      </c>
      <c r="L47" s="401"/>
      <c r="M47" s="334"/>
      <c r="N47" s="334"/>
      <c r="O47" s="337"/>
      <c r="P47" s="320"/>
    </row>
    <row r="48" spans="1:21" ht="24" customHeight="1">
      <c r="A48" s="340"/>
      <c r="B48" s="97" t="s">
        <v>183</v>
      </c>
      <c r="C48" s="343"/>
      <c r="D48" s="343"/>
      <c r="E48" s="360"/>
      <c r="F48" s="325"/>
      <c r="G48" s="328"/>
      <c r="H48" s="325"/>
      <c r="I48" s="328"/>
      <c r="J48" s="98" t="s">
        <v>65</v>
      </c>
      <c r="K48" s="97" t="s">
        <v>184</v>
      </c>
      <c r="L48" s="401"/>
      <c r="M48" s="334"/>
      <c r="N48" s="334"/>
      <c r="O48" s="337"/>
      <c r="P48" s="320"/>
    </row>
    <row r="49" spans="1:21" ht="24" customHeight="1">
      <c r="A49" s="341"/>
      <c r="B49" s="134"/>
      <c r="C49" s="344"/>
      <c r="D49" s="344"/>
      <c r="E49" s="361"/>
      <c r="F49" s="326"/>
      <c r="G49" s="329"/>
      <c r="H49" s="326"/>
      <c r="I49" s="329"/>
      <c r="J49" s="134"/>
      <c r="K49" s="134"/>
      <c r="L49" s="401"/>
      <c r="M49" s="335"/>
      <c r="N49" s="335"/>
      <c r="O49" s="338"/>
      <c r="P49" s="321"/>
    </row>
    <row r="50" spans="1:21" ht="24" customHeight="1">
      <c r="A50" s="364">
        <v>11</v>
      </c>
      <c r="B50" s="94" t="s">
        <v>185</v>
      </c>
      <c r="C50" s="342">
        <v>7702565.4199999999</v>
      </c>
      <c r="D50" s="394">
        <v>8241523</v>
      </c>
      <c r="E50" s="339" t="s">
        <v>186</v>
      </c>
      <c r="F50" s="324" t="s">
        <v>68</v>
      </c>
      <c r="G50" s="327">
        <v>8076000</v>
      </c>
      <c r="H50" s="324" t="s">
        <v>68</v>
      </c>
      <c r="I50" s="327">
        <v>8051740</v>
      </c>
      <c r="J50" s="96"/>
      <c r="K50" s="96"/>
      <c r="L50" s="330" t="s">
        <v>187</v>
      </c>
      <c r="M50" s="333" t="s">
        <v>59</v>
      </c>
      <c r="N50" s="333"/>
      <c r="O50" s="336">
        <v>243892</v>
      </c>
      <c r="P50" s="319" t="s">
        <v>125</v>
      </c>
    </row>
    <row r="51" spans="1:21" ht="24" customHeight="1">
      <c r="A51" s="360"/>
      <c r="B51" s="97" t="s">
        <v>166</v>
      </c>
      <c r="C51" s="343"/>
      <c r="D51" s="395"/>
      <c r="E51" s="340"/>
      <c r="F51" s="325"/>
      <c r="G51" s="328"/>
      <c r="H51" s="325"/>
      <c r="I51" s="328"/>
      <c r="J51" s="98" t="s">
        <v>71</v>
      </c>
      <c r="K51" s="100" t="s">
        <v>188</v>
      </c>
      <c r="L51" s="331"/>
      <c r="M51" s="334"/>
      <c r="N51" s="334"/>
      <c r="O51" s="337"/>
      <c r="P51" s="320"/>
    </row>
    <row r="52" spans="1:21" ht="24" customHeight="1">
      <c r="A52" s="360"/>
      <c r="B52" s="97" t="s">
        <v>189</v>
      </c>
      <c r="C52" s="343"/>
      <c r="D52" s="395"/>
      <c r="E52" s="340"/>
      <c r="F52" s="325"/>
      <c r="G52" s="328"/>
      <c r="H52" s="325"/>
      <c r="I52" s="328"/>
      <c r="J52" s="98" t="s">
        <v>65</v>
      </c>
      <c r="K52" s="97" t="s">
        <v>190</v>
      </c>
      <c r="L52" s="331"/>
      <c r="M52" s="334"/>
      <c r="N52" s="334"/>
      <c r="O52" s="337"/>
      <c r="P52" s="320"/>
    </row>
    <row r="53" spans="1:21" ht="24" customHeight="1">
      <c r="A53" s="360"/>
      <c r="B53" s="97"/>
      <c r="C53" s="343"/>
      <c r="D53" s="395"/>
      <c r="E53" s="340"/>
      <c r="F53" s="326"/>
      <c r="G53" s="329"/>
      <c r="H53" s="326"/>
      <c r="I53" s="328"/>
      <c r="J53" s="98"/>
      <c r="K53" s="97"/>
      <c r="L53" s="332"/>
      <c r="M53" s="335"/>
      <c r="N53" s="335"/>
      <c r="O53" s="338"/>
      <c r="P53" s="321"/>
    </row>
    <row r="54" spans="1:21" ht="24" customHeight="1">
      <c r="A54" s="364">
        <v>12</v>
      </c>
      <c r="B54" s="94" t="s">
        <v>191</v>
      </c>
      <c r="C54" s="342">
        <v>2000000</v>
      </c>
      <c r="D54" s="342">
        <v>2139824.52</v>
      </c>
      <c r="E54" s="364" t="s">
        <v>186</v>
      </c>
      <c r="F54" s="324" t="s">
        <v>192</v>
      </c>
      <c r="G54" s="327">
        <v>2074999</v>
      </c>
      <c r="H54" s="324" t="s">
        <v>192</v>
      </c>
      <c r="I54" s="327">
        <v>2074848.77</v>
      </c>
      <c r="J54" s="141"/>
      <c r="K54" s="142"/>
      <c r="L54" s="330" t="s">
        <v>193</v>
      </c>
      <c r="M54" s="333" t="s">
        <v>59</v>
      </c>
      <c r="N54" s="345"/>
      <c r="O54" s="336">
        <v>243892</v>
      </c>
      <c r="P54" s="319" t="s">
        <v>125</v>
      </c>
    </row>
    <row r="55" spans="1:21" ht="24" customHeight="1">
      <c r="A55" s="360"/>
      <c r="B55" s="97" t="s">
        <v>166</v>
      </c>
      <c r="C55" s="343"/>
      <c r="D55" s="343"/>
      <c r="E55" s="360"/>
      <c r="F55" s="325"/>
      <c r="G55" s="328"/>
      <c r="H55" s="325"/>
      <c r="I55" s="328"/>
      <c r="J55" s="98" t="s">
        <v>61</v>
      </c>
      <c r="K55" s="100" t="s">
        <v>194</v>
      </c>
      <c r="L55" s="331"/>
      <c r="M55" s="334"/>
      <c r="N55" s="346"/>
      <c r="O55" s="337"/>
      <c r="P55" s="320"/>
      <c r="U55" s="143" t="s">
        <v>195</v>
      </c>
    </row>
    <row r="56" spans="1:21" ht="24" customHeight="1">
      <c r="A56" s="360"/>
      <c r="B56" s="97" t="s">
        <v>196</v>
      </c>
      <c r="C56" s="343"/>
      <c r="D56" s="343"/>
      <c r="E56" s="360"/>
      <c r="F56" s="348" t="s">
        <v>197</v>
      </c>
      <c r="G56" s="350">
        <v>2107727.15</v>
      </c>
      <c r="H56" s="325"/>
      <c r="I56" s="328"/>
      <c r="J56" s="98" t="s">
        <v>65</v>
      </c>
      <c r="K56" s="97" t="s">
        <v>144</v>
      </c>
      <c r="L56" s="331"/>
      <c r="M56" s="334"/>
      <c r="N56" s="346"/>
      <c r="O56" s="337"/>
      <c r="P56" s="320"/>
      <c r="R56" s="144" t="s">
        <v>198</v>
      </c>
      <c r="S56" s="140">
        <f>SUM('[1]แบบ สขร. ต.ค. 67 '!I50,'[1]แบบ สขร. ต.ค. 67 '!I68)</f>
        <v>11794573.119999999</v>
      </c>
      <c r="T56" s="140">
        <f>SUM('[1]แบบ สขร. ต.ค. 67 '!I8:I49,'[1]แบบ สขร. ต.ค. 67 '!I60:I63,'[1]แบบ สขร. ต.ค. 67 '!I64:I67)</f>
        <v>11794573.119999999</v>
      </c>
      <c r="U56" s="140">
        <f>SUM(T56)</f>
        <v>11794573.119999999</v>
      </c>
    </row>
    <row r="57" spans="1:21" ht="24" customHeight="1">
      <c r="A57" s="361"/>
      <c r="B57" s="102"/>
      <c r="C57" s="344"/>
      <c r="D57" s="344"/>
      <c r="E57" s="361"/>
      <c r="F57" s="349"/>
      <c r="G57" s="351"/>
      <c r="H57" s="326"/>
      <c r="I57" s="329"/>
      <c r="J57" s="145"/>
      <c r="K57" s="146"/>
      <c r="L57" s="332"/>
      <c r="M57" s="335"/>
      <c r="N57" s="347"/>
      <c r="O57" s="338"/>
      <c r="P57" s="321"/>
      <c r="R57" s="144" t="s">
        <v>199</v>
      </c>
      <c r="S57" s="140">
        <f>SUM('[1]แบบ สขร. พ.ย. 67 '!I17,'[1]แบบ สขร. พ.ย. 67 '!I31,'[1]แบบ สขร. พ.ย. 67 '!I45)</f>
        <v>3575708.2</v>
      </c>
      <c r="T57" s="140">
        <f>SUM('[1]แบบ สขร. พ.ย. 67 '!I8:I16,'[1]แบบ สขร. พ.ย. 67 '!I27:I30,'[1]แบบ สขร. พ.ย. 67 '!I41:I44)</f>
        <v>3575708.2</v>
      </c>
      <c r="U57" s="140">
        <f t="shared" ref="U57:U67" si="0">+U56+S57</f>
        <v>15370281.32</v>
      </c>
    </row>
    <row r="58" spans="1:21" ht="24" customHeight="1">
      <c r="A58" s="364">
        <v>13</v>
      </c>
      <c r="B58" s="136" t="s">
        <v>67</v>
      </c>
      <c r="C58" s="342">
        <v>467200</v>
      </c>
      <c r="D58" s="342">
        <v>449463</v>
      </c>
      <c r="E58" s="364" t="s">
        <v>56</v>
      </c>
      <c r="F58" s="324" t="s">
        <v>200</v>
      </c>
      <c r="G58" s="327">
        <v>440409</v>
      </c>
      <c r="H58" s="324" t="s">
        <v>200</v>
      </c>
      <c r="I58" s="327">
        <v>440409</v>
      </c>
      <c r="J58" s="111"/>
      <c r="K58" s="96"/>
      <c r="L58" s="330" t="s">
        <v>159</v>
      </c>
      <c r="M58" s="333" t="s">
        <v>59</v>
      </c>
      <c r="N58" s="333"/>
      <c r="O58" s="336">
        <v>243892</v>
      </c>
      <c r="P58" s="319" t="s">
        <v>125</v>
      </c>
      <c r="R58" s="144" t="s">
        <v>201</v>
      </c>
      <c r="S58" s="140">
        <f>SUM('[1]แบบ สขร. ธ.ค. 67'!I34,'[1]แบบ สขร. ธ.ค. 67'!I58)</f>
        <v>3888094.7</v>
      </c>
      <c r="T58" s="140">
        <f>SUM('[1]แบบ สขร. ธ.ค. 67'!I8:I33,'[1]แบบ สขร. ธ.ค. 67'!I44:I48,'[1]แบบ สขร. ธ.ค. 67'!I49:I52,'[1]แบบ สขร. ธ.ค. 67'!I53:I57)</f>
        <v>3888094.7</v>
      </c>
      <c r="U58" s="140">
        <f t="shared" si="0"/>
        <v>19258376.02</v>
      </c>
    </row>
    <row r="59" spans="1:21" ht="24" customHeight="1">
      <c r="A59" s="360"/>
      <c r="B59" s="138" t="s">
        <v>160</v>
      </c>
      <c r="C59" s="343"/>
      <c r="D59" s="343"/>
      <c r="E59" s="360"/>
      <c r="F59" s="325"/>
      <c r="G59" s="328"/>
      <c r="H59" s="325"/>
      <c r="I59" s="328"/>
      <c r="J59" s="98" t="s">
        <v>71</v>
      </c>
      <c r="K59" s="100" t="s">
        <v>202</v>
      </c>
      <c r="L59" s="331"/>
      <c r="M59" s="334"/>
      <c r="N59" s="334"/>
      <c r="O59" s="337"/>
      <c r="P59" s="320"/>
      <c r="R59" s="144" t="s">
        <v>203</v>
      </c>
      <c r="S59" s="140">
        <f>SUM('[1]แบบ สขร. ม.ค. 68 '!I8:I19)</f>
        <v>1104198.32</v>
      </c>
      <c r="T59" s="140">
        <f>SUM('[1]แบบ สขร. ม.ค. 68 '!I20)</f>
        <v>1104198.32</v>
      </c>
      <c r="U59" s="140">
        <f t="shared" si="0"/>
        <v>20362574.34</v>
      </c>
    </row>
    <row r="60" spans="1:21" ht="24" customHeight="1">
      <c r="A60" s="360"/>
      <c r="B60" s="138" t="s">
        <v>204</v>
      </c>
      <c r="C60" s="343"/>
      <c r="D60" s="343"/>
      <c r="E60" s="360"/>
      <c r="F60" s="325"/>
      <c r="G60" s="328"/>
      <c r="H60" s="325"/>
      <c r="I60" s="328"/>
      <c r="J60" s="98" t="s">
        <v>65</v>
      </c>
      <c r="K60" s="97" t="s">
        <v>205</v>
      </c>
      <c r="L60" s="331"/>
      <c r="M60" s="334"/>
      <c r="N60" s="334"/>
      <c r="O60" s="337"/>
      <c r="P60" s="320"/>
      <c r="R60" s="144" t="s">
        <v>206</v>
      </c>
      <c r="S60" s="140">
        <f>SUM('[1]แบบ สขร. ก.พ. 68'!I20,'[1]แบบ สขร. ก.พ. 68'!I48)</f>
        <v>5836018</v>
      </c>
      <c r="T60" s="140">
        <f>SUM('[1]แบบ สขร. ก.พ. 68'!I8:I19,'[1]แบบ สขร. ก.พ. 68'!I30:I36,'[1]แบบ สขร. ก.พ. 68'!I37:I47)</f>
        <v>5836018</v>
      </c>
      <c r="U60" s="140">
        <f t="shared" si="0"/>
        <v>26198592.34</v>
      </c>
    </row>
    <row r="61" spans="1:21" ht="24" customHeight="1">
      <c r="A61" s="361"/>
      <c r="B61" s="112"/>
      <c r="C61" s="344"/>
      <c r="D61" s="344"/>
      <c r="E61" s="361"/>
      <c r="F61" s="326"/>
      <c r="G61" s="329"/>
      <c r="H61" s="326"/>
      <c r="I61" s="329"/>
      <c r="J61" s="113"/>
      <c r="K61" s="103"/>
      <c r="L61" s="332"/>
      <c r="M61" s="335"/>
      <c r="N61" s="335"/>
      <c r="O61" s="338"/>
      <c r="P61" s="321"/>
      <c r="R61" s="144" t="s">
        <v>207</v>
      </c>
      <c r="S61" s="140">
        <f>SUM('[1]แบบ สขร. มี.ค. 68'!I32,'[1]แบบ สขร. มี.ค. 68'!I57)</f>
        <v>8127359</v>
      </c>
      <c r="T61" s="140">
        <f>SUM('[1]แบบ สขร. มี.ค. 68'!I8:I31,'[1]แบบ สขร. มี.ค. 68'!I42:I52,'[1]แบบ สขร. มี.ค. 68'!I53:I56)</f>
        <v>8127359</v>
      </c>
      <c r="U61" s="140">
        <f t="shared" si="0"/>
        <v>34325951.340000004</v>
      </c>
    </row>
    <row r="62" spans="1:21" ht="24" customHeight="1">
      <c r="A62" s="364">
        <v>14</v>
      </c>
      <c r="B62" s="94" t="s">
        <v>208</v>
      </c>
      <c r="C62" s="342">
        <v>235000</v>
      </c>
      <c r="D62" s="342">
        <v>221090</v>
      </c>
      <c r="E62" s="364" t="s">
        <v>56</v>
      </c>
      <c r="F62" s="88" t="s">
        <v>209</v>
      </c>
      <c r="G62" s="89">
        <v>221090</v>
      </c>
      <c r="H62" s="324" t="s">
        <v>209</v>
      </c>
      <c r="I62" s="327">
        <v>221090</v>
      </c>
      <c r="J62" s="96"/>
      <c r="K62" s="96"/>
      <c r="L62" s="330" t="s">
        <v>124</v>
      </c>
      <c r="M62" s="333" t="s">
        <v>59</v>
      </c>
      <c r="N62" s="345"/>
      <c r="O62" s="378">
        <v>243923</v>
      </c>
      <c r="P62" s="381" t="s">
        <v>125</v>
      </c>
      <c r="R62" s="144" t="s">
        <v>210</v>
      </c>
      <c r="S62" s="140">
        <f>SUM('[1]แบบ สขร. เม.ย. 68'!I21,'[1]แบบ สขร. เม.ย. 68'!I42)</f>
        <v>11842498.85</v>
      </c>
      <c r="T62" s="140">
        <f>SUM('[1]แบบ สขร. เม.ย. 68'!I8:I20,'[1]แบบ สขร. เม.ย. 68'!I31:I36,'[1]แบบ สขร. เม.ย. 68'!I37:I41)</f>
        <v>11842498.85</v>
      </c>
      <c r="U62" s="140">
        <f t="shared" si="0"/>
        <v>46168450.190000005</v>
      </c>
    </row>
    <row r="63" spans="1:21" ht="24" customHeight="1">
      <c r="A63" s="360"/>
      <c r="B63" s="97" t="s">
        <v>211</v>
      </c>
      <c r="C63" s="343"/>
      <c r="D63" s="343"/>
      <c r="E63" s="360"/>
      <c r="F63" s="348" t="s">
        <v>212</v>
      </c>
      <c r="G63" s="350">
        <v>222132</v>
      </c>
      <c r="H63" s="325"/>
      <c r="I63" s="328"/>
      <c r="J63" s="98" t="s">
        <v>61</v>
      </c>
      <c r="K63" s="100" t="s">
        <v>213</v>
      </c>
      <c r="L63" s="331"/>
      <c r="M63" s="334"/>
      <c r="N63" s="346"/>
      <c r="O63" s="379"/>
      <c r="P63" s="382"/>
      <c r="R63" s="144" t="s">
        <v>214</v>
      </c>
      <c r="S63" s="140">
        <f>SUM('[1]แบบ สขร. พ.ค. 68'!I20)</f>
        <v>12579617.58</v>
      </c>
      <c r="T63" s="140">
        <f>SUM('[1]แบบ สขร. พ.ค. 68'!I8:I19)</f>
        <v>12579617.58</v>
      </c>
      <c r="U63" s="140">
        <f t="shared" si="0"/>
        <v>58748067.770000003</v>
      </c>
    </row>
    <row r="64" spans="1:21" ht="24" customHeight="1">
      <c r="A64" s="360"/>
      <c r="B64" s="97" t="s">
        <v>215</v>
      </c>
      <c r="C64" s="343"/>
      <c r="D64" s="343"/>
      <c r="E64" s="360"/>
      <c r="F64" s="348"/>
      <c r="G64" s="350"/>
      <c r="H64" s="325"/>
      <c r="I64" s="328"/>
      <c r="J64" s="98" t="s">
        <v>65</v>
      </c>
      <c r="K64" s="97" t="s">
        <v>216</v>
      </c>
      <c r="L64" s="331"/>
      <c r="M64" s="334"/>
      <c r="N64" s="346"/>
      <c r="O64" s="379"/>
      <c r="P64" s="382"/>
      <c r="R64" s="144" t="s">
        <v>217</v>
      </c>
      <c r="S64" s="140">
        <f>SUM('[1]แบบ สขร. มิ.ย. 68'!I24,'[1]แบบ สขร. มิ.ย. 68'!I42)</f>
        <v>3139345</v>
      </c>
      <c r="T64" s="140">
        <f>SUM('[1]แบบ สขร. มิ.ย. 68'!I8:I23,'[1]แบบ สขร. มิ.ย. 68'!I34:I41)</f>
        <v>3139345</v>
      </c>
      <c r="U64" s="140">
        <f t="shared" si="0"/>
        <v>61887412.770000003</v>
      </c>
    </row>
    <row r="65" spans="1:21" ht="24" customHeight="1">
      <c r="A65" s="360"/>
      <c r="B65" s="97"/>
      <c r="C65" s="343"/>
      <c r="D65" s="343"/>
      <c r="E65" s="360"/>
      <c r="F65" s="348" t="s">
        <v>218</v>
      </c>
      <c r="G65" s="350">
        <v>284085</v>
      </c>
      <c r="H65" s="325"/>
      <c r="I65" s="328"/>
      <c r="J65" s="98"/>
      <c r="K65" s="97"/>
      <c r="L65" s="331"/>
      <c r="M65" s="334"/>
      <c r="N65" s="346"/>
      <c r="O65" s="379"/>
      <c r="P65" s="382"/>
      <c r="R65" s="144" t="s">
        <v>219</v>
      </c>
      <c r="S65" s="140">
        <f>SUM('[1]แบบ สขร. ก.ค. 68'!I12,'[1]แบบ สขร. ก.ค. 68'!I31)</f>
        <v>11616106.09</v>
      </c>
      <c r="T65" s="140">
        <f>SUM('[1]แบบ สขร. ก.ค. 68'!I8:I11,'[1]แบบ สขร. ก.ค. 68'!I22:I30)</f>
        <v>11616106.09</v>
      </c>
      <c r="U65" s="140">
        <f t="shared" si="0"/>
        <v>73503518.859999999</v>
      </c>
    </row>
    <row r="66" spans="1:21" ht="24" customHeight="1">
      <c r="A66" s="361"/>
      <c r="B66" s="102"/>
      <c r="C66" s="344"/>
      <c r="D66" s="344"/>
      <c r="E66" s="361"/>
      <c r="F66" s="349"/>
      <c r="G66" s="351"/>
      <c r="H66" s="326"/>
      <c r="I66" s="329"/>
      <c r="J66" s="103"/>
      <c r="K66" s="103"/>
      <c r="L66" s="332"/>
      <c r="M66" s="335"/>
      <c r="N66" s="347"/>
      <c r="O66" s="380"/>
      <c r="P66" s="383"/>
      <c r="R66" s="144" t="s">
        <v>220</v>
      </c>
      <c r="S66" s="140">
        <f>SUM('[1]แบบ สขร. ส.ค. 68'!I28)</f>
        <v>248823.15</v>
      </c>
      <c r="T66" s="140">
        <f>SUM('[1]แบบ สขร. ส.ค. 68'!I8:I27)</f>
        <v>248823.15</v>
      </c>
      <c r="U66" s="140">
        <f t="shared" si="0"/>
        <v>73752342.010000005</v>
      </c>
    </row>
    <row r="67" spans="1:21" ht="24" customHeight="1">
      <c r="A67" s="364">
        <v>15</v>
      </c>
      <c r="B67" s="94" t="s">
        <v>221</v>
      </c>
      <c r="C67" s="342">
        <v>1004449</v>
      </c>
      <c r="D67" s="394">
        <v>1074760.43</v>
      </c>
      <c r="E67" s="339" t="s">
        <v>186</v>
      </c>
      <c r="F67" s="324" t="s">
        <v>222</v>
      </c>
      <c r="G67" s="327">
        <v>1008124</v>
      </c>
      <c r="H67" s="324" t="s">
        <v>222</v>
      </c>
      <c r="I67" s="327">
        <v>998726.23</v>
      </c>
      <c r="J67" s="96"/>
      <c r="K67" s="96"/>
      <c r="L67" s="330" t="s">
        <v>223</v>
      </c>
      <c r="M67" s="333" t="s">
        <v>59</v>
      </c>
      <c r="N67" s="333"/>
      <c r="O67" s="336">
        <v>243923</v>
      </c>
      <c r="P67" s="319" t="s">
        <v>125</v>
      </c>
      <c r="R67" s="144" t="s">
        <v>224</v>
      </c>
      <c r="S67" s="140">
        <f>SUM('[1]แบบ สขร. ก.ย. 68'!I36)</f>
        <v>741257.6</v>
      </c>
      <c r="T67" s="140">
        <f>SUM('[1]แบบ สขร. ก.ย. 68'!I8:I35)</f>
        <v>741257.6</v>
      </c>
      <c r="U67" s="140">
        <f t="shared" si="0"/>
        <v>74493599.609999999</v>
      </c>
    </row>
    <row r="68" spans="1:21" ht="24" customHeight="1">
      <c r="A68" s="360"/>
      <c r="B68" s="97" t="s">
        <v>225</v>
      </c>
      <c r="C68" s="343"/>
      <c r="D68" s="395"/>
      <c r="E68" s="340"/>
      <c r="F68" s="325"/>
      <c r="G68" s="328"/>
      <c r="H68" s="325"/>
      <c r="I68" s="328"/>
      <c r="J68" s="98" t="s">
        <v>71</v>
      </c>
      <c r="K68" s="100" t="s">
        <v>226</v>
      </c>
      <c r="L68" s="331"/>
      <c r="M68" s="334"/>
      <c r="N68" s="334"/>
      <c r="O68" s="337"/>
      <c r="P68" s="320"/>
      <c r="S68" s="140">
        <f>SUM(S56:S67)</f>
        <v>74493599.609999999</v>
      </c>
      <c r="T68" s="140">
        <f>SUM(T56:T67)</f>
        <v>74493599.609999999</v>
      </c>
    </row>
    <row r="69" spans="1:21" ht="24" customHeight="1">
      <c r="A69" s="360"/>
      <c r="B69" s="97" t="s">
        <v>227</v>
      </c>
      <c r="C69" s="343"/>
      <c r="D69" s="395"/>
      <c r="E69" s="340"/>
      <c r="F69" s="325"/>
      <c r="G69" s="328"/>
      <c r="H69" s="325"/>
      <c r="I69" s="328"/>
      <c r="J69" s="98" t="s">
        <v>65</v>
      </c>
      <c r="K69" s="97" t="s">
        <v>228</v>
      </c>
      <c r="L69" s="331"/>
      <c r="M69" s="334"/>
      <c r="N69" s="334"/>
      <c r="O69" s="337"/>
      <c r="P69" s="320"/>
    </row>
    <row r="70" spans="1:21" ht="24" customHeight="1">
      <c r="A70" s="361"/>
      <c r="B70" s="102"/>
      <c r="C70" s="344"/>
      <c r="D70" s="395"/>
      <c r="E70" s="341"/>
      <c r="F70" s="326"/>
      <c r="G70" s="329"/>
      <c r="H70" s="326"/>
      <c r="I70" s="329"/>
      <c r="J70" s="103"/>
      <c r="K70" s="102"/>
      <c r="L70" s="332"/>
      <c r="M70" s="335"/>
      <c r="N70" s="335"/>
      <c r="O70" s="338"/>
      <c r="P70" s="321"/>
    </row>
    <row r="71" spans="1:21" ht="24" customHeight="1">
      <c r="A71" s="364">
        <v>16</v>
      </c>
      <c r="B71" s="94" t="s">
        <v>229</v>
      </c>
      <c r="C71" s="342">
        <v>1800000</v>
      </c>
      <c r="D71" s="394">
        <v>1925897.28</v>
      </c>
      <c r="E71" s="339" t="s">
        <v>230</v>
      </c>
      <c r="F71" s="105" t="s">
        <v>231</v>
      </c>
      <c r="G71" s="89">
        <v>1925000</v>
      </c>
      <c r="H71" s="324" t="s">
        <v>231</v>
      </c>
      <c r="I71" s="327">
        <v>1915482.97</v>
      </c>
      <c r="J71" s="96"/>
      <c r="K71" s="96"/>
      <c r="L71" s="330" t="s">
        <v>232</v>
      </c>
      <c r="M71" s="333" t="s">
        <v>59</v>
      </c>
      <c r="N71" s="333"/>
      <c r="O71" s="336">
        <v>243923</v>
      </c>
      <c r="P71" s="319" t="s">
        <v>125</v>
      </c>
    </row>
    <row r="72" spans="1:21" ht="24" customHeight="1">
      <c r="A72" s="360"/>
      <c r="B72" s="97" t="s">
        <v>225</v>
      </c>
      <c r="C72" s="343"/>
      <c r="D72" s="395"/>
      <c r="E72" s="340"/>
      <c r="F72" s="107" t="s">
        <v>233</v>
      </c>
      <c r="G72" s="99">
        <v>1925800</v>
      </c>
      <c r="H72" s="325"/>
      <c r="I72" s="328"/>
      <c r="J72" s="98" t="s">
        <v>61</v>
      </c>
      <c r="K72" s="100" t="s">
        <v>234</v>
      </c>
      <c r="L72" s="331"/>
      <c r="M72" s="334"/>
      <c r="N72" s="334"/>
      <c r="O72" s="337"/>
      <c r="P72" s="320"/>
    </row>
    <row r="73" spans="1:21" ht="24" customHeight="1">
      <c r="A73" s="360"/>
      <c r="B73" s="97" t="s">
        <v>235</v>
      </c>
      <c r="C73" s="343"/>
      <c r="D73" s="395"/>
      <c r="E73" s="340"/>
      <c r="F73" s="348" t="s">
        <v>158</v>
      </c>
      <c r="G73" s="350">
        <v>1925897</v>
      </c>
      <c r="H73" s="325"/>
      <c r="I73" s="328"/>
      <c r="J73" s="98" t="s">
        <v>65</v>
      </c>
      <c r="K73" s="97" t="s">
        <v>236</v>
      </c>
      <c r="L73" s="331"/>
      <c r="M73" s="334"/>
      <c r="N73" s="334"/>
      <c r="O73" s="337"/>
      <c r="P73" s="320"/>
    </row>
    <row r="74" spans="1:21" ht="24" customHeight="1">
      <c r="A74" s="361"/>
      <c r="B74" s="102"/>
      <c r="C74" s="344"/>
      <c r="D74" s="395"/>
      <c r="E74" s="341"/>
      <c r="F74" s="349"/>
      <c r="G74" s="351"/>
      <c r="H74" s="326"/>
      <c r="I74" s="329"/>
      <c r="J74" s="103"/>
      <c r="K74" s="102"/>
      <c r="L74" s="332"/>
      <c r="M74" s="335"/>
      <c r="N74" s="335"/>
      <c r="O74" s="338"/>
      <c r="P74" s="321"/>
    </row>
    <row r="75" spans="1:21" ht="24" customHeight="1">
      <c r="A75" s="364">
        <v>17</v>
      </c>
      <c r="B75" s="136" t="s">
        <v>237</v>
      </c>
      <c r="C75" s="342">
        <v>119680</v>
      </c>
      <c r="D75" s="342">
        <v>128057.60000000001</v>
      </c>
      <c r="E75" s="364" t="s">
        <v>56</v>
      </c>
      <c r="F75" s="324" t="s">
        <v>238</v>
      </c>
      <c r="G75" s="327">
        <v>128057.60000000001</v>
      </c>
      <c r="H75" s="324" t="s">
        <v>238</v>
      </c>
      <c r="I75" s="327">
        <v>128057.60000000001</v>
      </c>
      <c r="J75" s="111"/>
      <c r="K75" s="96"/>
      <c r="L75" s="330" t="s">
        <v>239</v>
      </c>
      <c r="M75" s="333" t="s">
        <v>59</v>
      </c>
      <c r="N75" s="333"/>
      <c r="O75" s="336">
        <v>243953</v>
      </c>
      <c r="P75" s="319" t="s">
        <v>125</v>
      </c>
    </row>
    <row r="76" spans="1:21" ht="24" customHeight="1">
      <c r="A76" s="360"/>
      <c r="B76" s="138" t="s">
        <v>240</v>
      </c>
      <c r="C76" s="343"/>
      <c r="D76" s="343"/>
      <c r="E76" s="360"/>
      <c r="F76" s="325"/>
      <c r="G76" s="328"/>
      <c r="H76" s="325"/>
      <c r="I76" s="328"/>
      <c r="J76" s="98" t="s">
        <v>61</v>
      </c>
      <c r="K76" s="100" t="s">
        <v>241</v>
      </c>
      <c r="L76" s="331"/>
      <c r="M76" s="334"/>
      <c r="N76" s="334"/>
      <c r="O76" s="337"/>
      <c r="P76" s="320"/>
    </row>
    <row r="77" spans="1:21" ht="24" customHeight="1">
      <c r="A77" s="360"/>
      <c r="B77" s="138"/>
      <c r="C77" s="343"/>
      <c r="D77" s="343"/>
      <c r="E77" s="360"/>
      <c r="F77" s="107" t="s">
        <v>242</v>
      </c>
      <c r="G77" s="99">
        <v>137473.60000000001</v>
      </c>
      <c r="H77" s="325"/>
      <c r="I77" s="328"/>
      <c r="J77" s="98" t="s">
        <v>65</v>
      </c>
      <c r="K77" s="97" t="s">
        <v>243</v>
      </c>
      <c r="L77" s="331"/>
      <c r="M77" s="334"/>
      <c r="N77" s="334"/>
      <c r="O77" s="337"/>
      <c r="P77" s="320"/>
    </row>
    <row r="78" spans="1:21" ht="24" customHeight="1">
      <c r="A78" s="360"/>
      <c r="B78" s="138"/>
      <c r="C78" s="343"/>
      <c r="D78" s="343"/>
      <c r="E78" s="360"/>
      <c r="F78" s="107" t="s">
        <v>244</v>
      </c>
      <c r="G78" s="99">
        <v>151597.6</v>
      </c>
      <c r="H78" s="325"/>
      <c r="I78" s="328"/>
      <c r="J78" s="139"/>
      <c r="K78" s="98"/>
      <c r="L78" s="332"/>
      <c r="M78" s="335"/>
      <c r="N78" s="335"/>
      <c r="O78" s="338"/>
      <c r="P78" s="321"/>
    </row>
    <row r="79" spans="1:21" ht="24" customHeight="1">
      <c r="A79" s="364">
        <v>18</v>
      </c>
      <c r="B79" s="136" t="s">
        <v>245</v>
      </c>
      <c r="C79" s="342">
        <v>8830</v>
      </c>
      <c r="D79" s="342">
        <v>9448.1</v>
      </c>
      <c r="E79" s="364" t="s">
        <v>56</v>
      </c>
      <c r="F79" s="324" t="s">
        <v>246</v>
      </c>
      <c r="G79" s="327">
        <v>9448.1</v>
      </c>
      <c r="H79" s="324" t="s">
        <v>246</v>
      </c>
      <c r="I79" s="327">
        <v>9448.1</v>
      </c>
      <c r="J79" s="111"/>
      <c r="K79" s="96"/>
      <c r="L79" s="330" t="s">
        <v>90</v>
      </c>
      <c r="M79" s="333" t="s">
        <v>59</v>
      </c>
      <c r="N79" s="333"/>
      <c r="O79" s="378">
        <v>243953</v>
      </c>
      <c r="P79" s="319" t="s">
        <v>125</v>
      </c>
    </row>
    <row r="80" spans="1:21" ht="24" customHeight="1">
      <c r="A80" s="360"/>
      <c r="B80" s="138" t="s">
        <v>247</v>
      </c>
      <c r="C80" s="343"/>
      <c r="D80" s="343"/>
      <c r="E80" s="360"/>
      <c r="F80" s="325"/>
      <c r="G80" s="328"/>
      <c r="H80" s="325"/>
      <c r="I80" s="328"/>
      <c r="J80" s="139"/>
      <c r="K80" s="98"/>
      <c r="L80" s="331"/>
      <c r="M80" s="334"/>
      <c r="N80" s="334"/>
      <c r="O80" s="379"/>
      <c r="P80" s="320"/>
    </row>
    <row r="81" spans="1:16" ht="24" customHeight="1">
      <c r="A81" s="360"/>
      <c r="B81" s="138"/>
      <c r="C81" s="343"/>
      <c r="D81" s="343"/>
      <c r="E81" s="360"/>
      <c r="F81" s="348" t="s">
        <v>248</v>
      </c>
      <c r="G81" s="350" t="s">
        <v>249</v>
      </c>
      <c r="H81" s="325"/>
      <c r="I81" s="328"/>
      <c r="J81" s="98" t="s">
        <v>61</v>
      </c>
      <c r="K81" s="100" t="s">
        <v>250</v>
      </c>
      <c r="L81" s="331"/>
      <c r="M81" s="334"/>
      <c r="N81" s="334"/>
      <c r="O81" s="379"/>
      <c r="P81" s="320"/>
    </row>
    <row r="82" spans="1:16" ht="24" customHeight="1">
      <c r="A82" s="360"/>
      <c r="B82" s="138"/>
      <c r="C82" s="343"/>
      <c r="D82" s="343"/>
      <c r="E82" s="360"/>
      <c r="F82" s="348"/>
      <c r="G82" s="350"/>
      <c r="H82" s="325"/>
      <c r="I82" s="328"/>
      <c r="J82" s="98" t="s">
        <v>65</v>
      </c>
      <c r="K82" s="97" t="s">
        <v>243</v>
      </c>
      <c r="L82" s="331"/>
      <c r="M82" s="334"/>
      <c r="N82" s="334"/>
      <c r="O82" s="379"/>
      <c r="P82" s="320"/>
    </row>
    <row r="83" spans="1:16" ht="24" customHeight="1">
      <c r="A83" s="360"/>
      <c r="B83" s="138"/>
      <c r="C83" s="343"/>
      <c r="D83" s="343"/>
      <c r="E83" s="360"/>
      <c r="F83" s="348"/>
      <c r="G83" s="350"/>
      <c r="H83" s="325"/>
      <c r="I83" s="328"/>
      <c r="J83" s="139"/>
      <c r="K83" s="98"/>
      <c r="L83" s="331"/>
      <c r="M83" s="334"/>
      <c r="N83" s="334"/>
      <c r="O83" s="379"/>
      <c r="P83" s="320"/>
    </row>
    <row r="84" spans="1:16" ht="24" customHeight="1">
      <c r="A84" s="361"/>
      <c r="B84" s="112"/>
      <c r="C84" s="344"/>
      <c r="D84" s="344"/>
      <c r="E84" s="360"/>
      <c r="F84" s="147" t="s">
        <v>251</v>
      </c>
      <c r="G84" s="135">
        <v>9972.4</v>
      </c>
      <c r="H84" s="326"/>
      <c r="I84" s="329"/>
      <c r="J84" s="113"/>
      <c r="K84" s="103"/>
      <c r="L84" s="332"/>
      <c r="M84" s="335"/>
      <c r="N84" s="335"/>
      <c r="O84" s="380"/>
      <c r="P84" s="321"/>
    </row>
    <row r="85" spans="1:16" ht="24" customHeight="1">
      <c r="A85" s="364">
        <v>19</v>
      </c>
      <c r="B85" s="97" t="s">
        <v>67</v>
      </c>
      <c r="C85" s="342">
        <v>467200</v>
      </c>
      <c r="D85" s="342">
        <v>438726</v>
      </c>
      <c r="E85" s="364" t="s">
        <v>56</v>
      </c>
      <c r="F85" s="324" t="s">
        <v>252</v>
      </c>
      <c r="G85" s="327">
        <v>429822</v>
      </c>
      <c r="H85" s="324" t="s">
        <v>252</v>
      </c>
      <c r="I85" s="327">
        <v>429822</v>
      </c>
      <c r="J85" s="111"/>
      <c r="K85" s="96"/>
      <c r="L85" s="330" t="s">
        <v>159</v>
      </c>
      <c r="M85" s="333" t="s">
        <v>59</v>
      </c>
      <c r="N85" s="333"/>
      <c r="O85" s="336">
        <v>243953</v>
      </c>
      <c r="P85" s="319" t="s">
        <v>125</v>
      </c>
    </row>
    <row r="86" spans="1:16" ht="24" customHeight="1">
      <c r="A86" s="360"/>
      <c r="B86" s="97" t="s">
        <v>160</v>
      </c>
      <c r="C86" s="343"/>
      <c r="D86" s="343"/>
      <c r="E86" s="360"/>
      <c r="F86" s="325"/>
      <c r="G86" s="328"/>
      <c r="H86" s="325"/>
      <c r="I86" s="328"/>
      <c r="J86" s="98" t="s">
        <v>71</v>
      </c>
      <c r="K86" s="100" t="s">
        <v>253</v>
      </c>
      <c r="L86" s="331"/>
      <c r="M86" s="334"/>
      <c r="N86" s="334"/>
      <c r="O86" s="337"/>
      <c r="P86" s="320"/>
    </row>
    <row r="87" spans="1:16" ht="24" customHeight="1">
      <c r="A87" s="360"/>
      <c r="B87" s="97" t="s">
        <v>254</v>
      </c>
      <c r="C87" s="343"/>
      <c r="D87" s="343"/>
      <c r="E87" s="360"/>
      <c r="F87" s="325"/>
      <c r="G87" s="328"/>
      <c r="H87" s="325"/>
      <c r="I87" s="328"/>
      <c r="J87" s="98" t="s">
        <v>65</v>
      </c>
      <c r="K87" s="97" t="s">
        <v>255</v>
      </c>
      <c r="L87" s="331"/>
      <c r="M87" s="334"/>
      <c r="N87" s="334"/>
      <c r="O87" s="337"/>
      <c r="P87" s="320"/>
    </row>
    <row r="88" spans="1:16" ht="24" customHeight="1">
      <c r="A88" s="361"/>
      <c r="B88" s="112"/>
      <c r="C88" s="344"/>
      <c r="D88" s="344"/>
      <c r="E88" s="361"/>
      <c r="F88" s="326"/>
      <c r="G88" s="329"/>
      <c r="H88" s="326"/>
      <c r="I88" s="329"/>
      <c r="J88" s="113"/>
      <c r="K88" s="103"/>
      <c r="L88" s="332"/>
      <c r="M88" s="335"/>
      <c r="N88" s="335"/>
      <c r="O88" s="338"/>
      <c r="P88" s="321"/>
    </row>
    <row r="89" spans="1:16" ht="24" customHeight="1">
      <c r="A89" s="360">
        <v>20</v>
      </c>
      <c r="B89" s="97" t="s">
        <v>67</v>
      </c>
      <c r="C89" s="343">
        <v>350000</v>
      </c>
      <c r="D89" s="343">
        <v>345594</v>
      </c>
      <c r="E89" s="360" t="s">
        <v>56</v>
      </c>
      <c r="F89" s="324" t="s">
        <v>256</v>
      </c>
      <c r="G89" s="327">
        <v>338695</v>
      </c>
      <c r="H89" s="324" t="s">
        <v>256</v>
      </c>
      <c r="I89" s="327">
        <v>338695</v>
      </c>
      <c r="J89" s="139"/>
      <c r="K89" s="98"/>
      <c r="L89" s="330" t="s">
        <v>159</v>
      </c>
      <c r="M89" s="333" t="s">
        <v>59</v>
      </c>
      <c r="N89" s="333"/>
      <c r="O89" s="336">
        <v>243953</v>
      </c>
      <c r="P89" s="319" t="s">
        <v>125</v>
      </c>
    </row>
    <row r="90" spans="1:16" ht="24" customHeight="1">
      <c r="A90" s="360"/>
      <c r="B90" s="138" t="s">
        <v>160</v>
      </c>
      <c r="C90" s="343"/>
      <c r="D90" s="343"/>
      <c r="E90" s="360"/>
      <c r="F90" s="325"/>
      <c r="G90" s="328"/>
      <c r="H90" s="325"/>
      <c r="I90" s="328"/>
      <c r="J90" s="98" t="s">
        <v>71</v>
      </c>
      <c r="K90" s="100" t="s">
        <v>257</v>
      </c>
      <c r="L90" s="331"/>
      <c r="M90" s="334"/>
      <c r="N90" s="334"/>
      <c r="O90" s="337"/>
      <c r="P90" s="320"/>
    </row>
    <row r="91" spans="1:16" ht="24" customHeight="1">
      <c r="A91" s="360"/>
      <c r="B91" s="138" t="s">
        <v>258</v>
      </c>
      <c r="C91" s="343"/>
      <c r="D91" s="343"/>
      <c r="E91" s="360"/>
      <c r="F91" s="325"/>
      <c r="G91" s="328"/>
      <c r="H91" s="325"/>
      <c r="I91" s="328"/>
      <c r="J91" s="98" t="s">
        <v>65</v>
      </c>
      <c r="K91" s="97" t="s">
        <v>259</v>
      </c>
      <c r="L91" s="331"/>
      <c r="M91" s="334"/>
      <c r="N91" s="334"/>
      <c r="O91" s="337"/>
      <c r="P91" s="320"/>
    </row>
    <row r="92" spans="1:16" ht="24" customHeight="1">
      <c r="A92" s="361"/>
      <c r="B92" s="112"/>
      <c r="C92" s="344"/>
      <c r="D92" s="344"/>
      <c r="E92" s="361"/>
      <c r="F92" s="326"/>
      <c r="G92" s="329"/>
      <c r="H92" s="326"/>
      <c r="I92" s="329"/>
      <c r="J92" s="113"/>
      <c r="K92" s="103"/>
      <c r="L92" s="332"/>
      <c r="M92" s="335"/>
      <c r="N92" s="335"/>
      <c r="O92" s="338"/>
      <c r="P92" s="321"/>
    </row>
    <row r="93" spans="1:16" ht="24" customHeight="1">
      <c r="A93" s="364">
        <v>21</v>
      </c>
      <c r="B93" s="136" t="s">
        <v>260</v>
      </c>
      <c r="C93" s="342">
        <v>61766.36</v>
      </c>
      <c r="D93" s="342">
        <v>66090</v>
      </c>
      <c r="E93" s="364" t="s">
        <v>56</v>
      </c>
      <c r="F93" s="105" t="s">
        <v>261</v>
      </c>
      <c r="G93" s="89">
        <v>66090</v>
      </c>
      <c r="H93" s="324" t="s">
        <v>261</v>
      </c>
      <c r="I93" s="327">
        <v>66090</v>
      </c>
      <c r="J93" s="111"/>
      <c r="K93" s="96"/>
      <c r="L93" s="330" t="s">
        <v>262</v>
      </c>
      <c r="M93" s="333" t="s">
        <v>59</v>
      </c>
      <c r="N93" s="333"/>
      <c r="O93" s="336">
        <v>243953</v>
      </c>
      <c r="P93" s="319" t="s">
        <v>125</v>
      </c>
    </row>
    <row r="94" spans="1:16" ht="24" customHeight="1">
      <c r="A94" s="360"/>
      <c r="B94" s="138" t="s">
        <v>263</v>
      </c>
      <c r="C94" s="343"/>
      <c r="D94" s="343"/>
      <c r="E94" s="360"/>
      <c r="F94" s="107" t="s">
        <v>264</v>
      </c>
      <c r="G94" s="99">
        <v>78709.2</v>
      </c>
      <c r="H94" s="325"/>
      <c r="I94" s="328"/>
      <c r="J94" s="98" t="s">
        <v>61</v>
      </c>
      <c r="K94" s="100" t="s">
        <v>265</v>
      </c>
      <c r="L94" s="331"/>
      <c r="M94" s="334"/>
      <c r="N94" s="334"/>
      <c r="O94" s="337"/>
      <c r="P94" s="320"/>
    </row>
    <row r="95" spans="1:16" ht="24" customHeight="1">
      <c r="A95" s="360"/>
      <c r="B95" s="138" t="s">
        <v>266</v>
      </c>
      <c r="C95" s="343"/>
      <c r="D95" s="343"/>
      <c r="E95" s="360"/>
      <c r="F95" s="348" t="s">
        <v>267</v>
      </c>
      <c r="G95" s="350">
        <v>79843.399999999994</v>
      </c>
      <c r="H95" s="325"/>
      <c r="I95" s="328"/>
      <c r="J95" s="98" t="s">
        <v>65</v>
      </c>
      <c r="K95" s="97" t="s">
        <v>268</v>
      </c>
      <c r="L95" s="331"/>
      <c r="M95" s="334"/>
      <c r="N95" s="334"/>
      <c r="O95" s="337"/>
      <c r="P95" s="320"/>
    </row>
    <row r="96" spans="1:16" ht="24" customHeight="1">
      <c r="A96" s="361"/>
      <c r="B96" s="112"/>
      <c r="C96" s="344"/>
      <c r="D96" s="344"/>
      <c r="E96" s="361"/>
      <c r="F96" s="349"/>
      <c r="G96" s="351"/>
      <c r="H96" s="326"/>
      <c r="I96" s="329"/>
      <c r="J96" s="113"/>
      <c r="K96" s="103"/>
      <c r="L96" s="332"/>
      <c r="M96" s="335"/>
      <c r="N96" s="335"/>
      <c r="O96" s="338"/>
      <c r="P96" s="321"/>
    </row>
    <row r="97" spans="1:16" ht="24" customHeight="1">
      <c r="A97" s="360">
        <v>22</v>
      </c>
      <c r="B97" s="97" t="s">
        <v>67</v>
      </c>
      <c r="C97" s="343">
        <v>467200</v>
      </c>
      <c r="D97" s="343">
        <v>488485</v>
      </c>
      <c r="E97" s="360" t="s">
        <v>56</v>
      </c>
      <c r="F97" s="366" t="s">
        <v>68</v>
      </c>
      <c r="G97" s="327">
        <v>478475</v>
      </c>
      <c r="H97" s="366" t="s">
        <v>68</v>
      </c>
      <c r="I97" s="328">
        <v>478475</v>
      </c>
      <c r="J97" s="98"/>
      <c r="K97" s="98"/>
      <c r="L97" s="330" t="s">
        <v>159</v>
      </c>
      <c r="M97" s="333" t="s">
        <v>59</v>
      </c>
      <c r="N97" s="345"/>
      <c r="O97" s="336">
        <v>243953</v>
      </c>
      <c r="P97" s="319" t="s">
        <v>125</v>
      </c>
    </row>
    <row r="98" spans="1:16" ht="24" customHeight="1">
      <c r="A98" s="360"/>
      <c r="B98" s="97" t="s">
        <v>160</v>
      </c>
      <c r="C98" s="343"/>
      <c r="D98" s="343"/>
      <c r="E98" s="360"/>
      <c r="F98" s="367"/>
      <c r="G98" s="328"/>
      <c r="H98" s="367"/>
      <c r="I98" s="328"/>
      <c r="J98" s="98" t="s">
        <v>71</v>
      </c>
      <c r="K98" s="100" t="s">
        <v>269</v>
      </c>
      <c r="L98" s="331"/>
      <c r="M98" s="334"/>
      <c r="N98" s="346"/>
      <c r="O98" s="337"/>
      <c r="P98" s="320"/>
    </row>
    <row r="99" spans="1:16" ht="24" customHeight="1">
      <c r="A99" s="360"/>
      <c r="B99" s="97" t="s">
        <v>270</v>
      </c>
      <c r="C99" s="343"/>
      <c r="D99" s="343"/>
      <c r="E99" s="360"/>
      <c r="F99" s="367"/>
      <c r="G99" s="328"/>
      <c r="H99" s="367"/>
      <c r="I99" s="328"/>
      <c r="J99" s="98" t="s">
        <v>65</v>
      </c>
      <c r="K99" s="97" t="s">
        <v>271</v>
      </c>
      <c r="L99" s="331"/>
      <c r="M99" s="334"/>
      <c r="N99" s="346"/>
      <c r="O99" s="337"/>
      <c r="P99" s="320"/>
    </row>
    <row r="100" spans="1:16" ht="24" customHeight="1">
      <c r="A100" s="361"/>
      <c r="B100" s="97"/>
      <c r="C100" s="344"/>
      <c r="D100" s="344"/>
      <c r="E100" s="361"/>
      <c r="F100" s="368"/>
      <c r="G100" s="329"/>
      <c r="H100" s="368"/>
      <c r="I100" s="329"/>
      <c r="J100" s="98"/>
      <c r="K100" s="98"/>
      <c r="L100" s="332"/>
      <c r="M100" s="335"/>
      <c r="N100" s="347"/>
      <c r="O100" s="338"/>
      <c r="P100" s="321"/>
    </row>
    <row r="101" spans="1:16" ht="24" customHeight="1">
      <c r="A101" s="364">
        <v>23</v>
      </c>
      <c r="B101" s="94" t="s">
        <v>272</v>
      </c>
      <c r="C101" s="384">
        <v>1120000</v>
      </c>
      <c r="D101" s="384">
        <v>1188407</v>
      </c>
      <c r="E101" s="364" t="s">
        <v>186</v>
      </c>
      <c r="F101" s="88" t="s">
        <v>273</v>
      </c>
      <c r="G101" s="89">
        <v>858045</v>
      </c>
      <c r="H101" s="388" t="s">
        <v>273</v>
      </c>
      <c r="I101" s="391">
        <v>857522</v>
      </c>
      <c r="J101" s="88"/>
      <c r="K101" s="88"/>
      <c r="L101" s="330" t="s">
        <v>104</v>
      </c>
      <c r="M101" s="333" t="s">
        <v>59</v>
      </c>
      <c r="N101" s="333"/>
      <c r="O101" s="378">
        <v>243953</v>
      </c>
      <c r="P101" s="381" t="s">
        <v>125</v>
      </c>
    </row>
    <row r="102" spans="1:16" ht="24" customHeight="1">
      <c r="A102" s="360"/>
      <c r="B102" s="97" t="s">
        <v>274</v>
      </c>
      <c r="C102" s="385"/>
      <c r="D102" s="385"/>
      <c r="E102" s="360"/>
      <c r="F102" s="98" t="s">
        <v>252</v>
      </c>
      <c r="G102" s="99">
        <v>865900</v>
      </c>
      <c r="H102" s="389"/>
      <c r="I102" s="392"/>
      <c r="J102" s="148"/>
      <c r="K102" s="148"/>
      <c r="L102" s="331"/>
      <c r="M102" s="334"/>
      <c r="N102" s="334"/>
      <c r="O102" s="379"/>
      <c r="P102" s="382"/>
    </row>
    <row r="103" spans="1:16" ht="24" customHeight="1">
      <c r="A103" s="360"/>
      <c r="B103" s="97" t="s">
        <v>275</v>
      </c>
      <c r="C103" s="385"/>
      <c r="D103" s="385"/>
      <c r="E103" s="360"/>
      <c r="F103" s="98" t="s">
        <v>276</v>
      </c>
      <c r="G103" s="99">
        <v>910000</v>
      </c>
      <c r="H103" s="389"/>
      <c r="I103" s="392"/>
      <c r="J103" s="98" t="s">
        <v>61</v>
      </c>
      <c r="K103" s="100" t="s">
        <v>277</v>
      </c>
      <c r="L103" s="331"/>
      <c r="M103" s="334"/>
      <c r="N103" s="334"/>
      <c r="O103" s="379"/>
      <c r="P103" s="382"/>
    </row>
    <row r="104" spans="1:16" ht="24" customHeight="1">
      <c r="A104" s="360"/>
      <c r="B104" s="97"/>
      <c r="C104" s="385"/>
      <c r="D104" s="385"/>
      <c r="E104" s="360"/>
      <c r="F104" s="98" t="s">
        <v>278</v>
      </c>
      <c r="G104" s="99">
        <v>986300</v>
      </c>
      <c r="H104" s="389"/>
      <c r="I104" s="392"/>
      <c r="J104" s="98" t="s">
        <v>65</v>
      </c>
      <c r="K104" s="97" t="s">
        <v>279</v>
      </c>
      <c r="L104" s="331"/>
      <c r="M104" s="334"/>
      <c r="N104" s="334"/>
      <c r="O104" s="379"/>
      <c r="P104" s="382"/>
    </row>
    <row r="105" spans="1:16" ht="24" customHeight="1">
      <c r="A105" s="361"/>
      <c r="B105" s="102"/>
      <c r="C105" s="386"/>
      <c r="D105" s="386"/>
      <c r="E105" s="361"/>
      <c r="F105" s="103" t="s">
        <v>200</v>
      </c>
      <c r="G105" s="135">
        <v>1098800</v>
      </c>
      <c r="H105" s="390"/>
      <c r="I105" s="393"/>
      <c r="J105" s="134"/>
      <c r="K105" s="134"/>
      <c r="L105" s="332"/>
      <c r="M105" s="335"/>
      <c r="N105" s="335"/>
      <c r="O105" s="380"/>
      <c r="P105" s="383"/>
    </row>
    <row r="106" spans="1:16" ht="24" customHeight="1">
      <c r="A106" s="364">
        <v>24</v>
      </c>
      <c r="B106" s="149" t="s">
        <v>280</v>
      </c>
      <c r="C106" s="384">
        <v>1120000</v>
      </c>
      <c r="D106" s="384">
        <v>1112128</v>
      </c>
      <c r="E106" s="364" t="s">
        <v>186</v>
      </c>
      <c r="F106" s="324" t="s">
        <v>158</v>
      </c>
      <c r="G106" s="327">
        <v>780000</v>
      </c>
      <c r="H106" s="365" t="s">
        <v>158</v>
      </c>
      <c r="I106" s="391">
        <v>779988</v>
      </c>
      <c r="J106" s="150"/>
      <c r="K106" s="88"/>
      <c r="L106" s="330" t="s">
        <v>69</v>
      </c>
      <c r="M106" s="333" t="s">
        <v>59</v>
      </c>
      <c r="N106" s="333"/>
      <c r="O106" s="336">
        <v>243953</v>
      </c>
      <c r="P106" s="319" t="s">
        <v>125</v>
      </c>
    </row>
    <row r="107" spans="1:16" ht="24" customHeight="1">
      <c r="A107" s="360"/>
      <c r="B107" s="151" t="s">
        <v>281</v>
      </c>
      <c r="C107" s="385"/>
      <c r="D107" s="385"/>
      <c r="E107" s="360"/>
      <c r="F107" s="325"/>
      <c r="G107" s="328"/>
      <c r="H107" s="362"/>
      <c r="I107" s="392"/>
      <c r="J107" s="98" t="s">
        <v>61</v>
      </c>
      <c r="K107" s="100" t="s">
        <v>282</v>
      </c>
      <c r="L107" s="331"/>
      <c r="M107" s="334"/>
      <c r="N107" s="334"/>
      <c r="O107" s="337"/>
      <c r="P107" s="320"/>
    </row>
    <row r="108" spans="1:16" ht="24" customHeight="1">
      <c r="A108" s="360"/>
      <c r="B108" s="151" t="s">
        <v>283</v>
      </c>
      <c r="C108" s="385"/>
      <c r="D108" s="385"/>
      <c r="E108" s="360"/>
      <c r="F108" s="152" t="s">
        <v>252</v>
      </c>
      <c r="G108" s="153">
        <v>878900</v>
      </c>
      <c r="H108" s="362"/>
      <c r="I108" s="392"/>
      <c r="J108" s="98" t="s">
        <v>65</v>
      </c>
      <c r="K108" s="97" t="s">
        <v>268</v>
      </c>
      <c r="L108" s="331"/>
      <c r="M108" s="334"/>
      <c r="N108" s="334"/>
      <c r="O108" s="337"/>
      <c r="P108" s="320"/>
    </row>
    <row r="109" spans="1:16" ht="24" customHeight="1">
      <c r="A109" s="361"/>
      <c r="B109" s="154" t="s">
        <v>284</v>
      </c>
      <c r="C109" s="386"/>
      <c r="D109" s="386"/>
      <c r="E109" s="361"/>
      <c r="F109" s="155" t="s">
        <v>285</v>
      </c>
      <c r="G109" s="156">
        <v>900000</v>
      </c>
      <c r="H109" s="363"/>
      <c r="I109" s="393"/>
      <c r="J109" s="157"/>
      <c r="K109" s="134"/>
      <c r="L109" s="332"/>
      <c r="M109" s="335"/>
      <c r="N109" s="335"/>
      <c r="O109" s="338"/>
      <c r="P109" s="321"/>
    </row>
    <row r="110" spans="1:16" ht="24" customHeight="1">
      <c r="A110" s="360">
        <v>25</v>
      </c>
      <c r="B110" s="149" t="s">
        <v>280</v>
      </c>
      <c r="C110" s="343">
        <v>1120000</v>
      </c>
      <c r="D110" s="344">
        <v>1111874</v>
      </c>
      <c r="E110" s="340" t="s">
        <v>186</v>
      </c>
      <c r="F110" s="137" t="s">
        <v>285</v>
      </c>
      <c r="G110" s="109">
        <v>800000</v>
      </c>
      <c r="H110" s="325" t="s">
        <v>285</v>
      </c>
      <c r="I110" s="328">
        <v>799997</v>
      </c>
      <c r="J110" s="98"/>
      <c r="K110" s="98"/>
      <c r="L110" s="330" t="s">
        <v>286</v>
      </c>
      <c r="M110" s="333" t="s">
        <v>59</v>
      </c>
      <c r="N110" s="333"/>
      <c r="O110" s="378">
        <v>243953</v>
      </c>
      <c r="P110" s="381" t="s">
        <v>125</v>
      </c>
    </row>
    <row r="111" spans="1:16" ht="24" customHeight="1">
      <c r="A111" s="360"/>
      <c r="B111" s="151" t="s">
        <v>281</v>
      </c>
      <c r="C111" s="343"/>
      <c r="D111" s="344"/>
      <c r="E111" s="340"/>
      <c r="F111" s="348" t="s">
        <v>158</v>
      </c>
      <c r="G111" s="350">
        <v>920000</v>
      </c>
      <c r="H111" s="325"/>
      <c r="I111" s="328"/>
      <c r="J111" s="98"/>
      <c r="K111" s="98"/>
      <c r="L111" s="331"/>
      <c r="M111" s="334"/>
      <c r="N111" s="334"/>
      <c r="O111" s="379"/>
      <c r="P111" s="382"/>
    </row>
    <row r="112" spans="1:16" ht="24" customHeight="1">
      <c r="A112" s="360"/>
      <c r="B112" s="151" t="s">
        <v>287</v>
      </c>
      <c r="C112" s="343"/>
      <c r="D112" s="395"/>
      <c r="E112" s="340"/>
      <c r="F112" s="348"/>
      <c r="G112" s="350"/>
      <c r="H112" s="325"/>
      <c r="I112" s="328"/>
      <c r="J112" s="98" t="s">
        <v>61</v>
      </c>
      <c r="K112" s="100" t="s">
        <v>288</v>
      </c>
      <c r="L112" s="331"/>
      <c r="M112" s="334"/>
      <c r="N112" s="334"/>
      <c r="O112" s="379"/>
      <c r="P112" s="382"/>
    </row>
    <row r="113" spans="1:16" ht="24" customHeight="1">
      <c r="A113" s="360"/>
      <c r="B113" s="151" t="s">
        <v>289</v>
      </c>
      <c r="C113" s="343"/>
      <c r="D113" s="395"/>
      <c r="E113" s="340"/>
      <c r="F113" s="107" t="s">
        <v>252</v>
      </c>
      <c r="G113" s="99">
        <v>982600</v>
      </c>
      <c r="H113" s="325"/>
      <c r="I113" s="328"/>
      <c r="J113" s="98" t="s">
        <v>65</v>
      </c>
      <c r="K113" s="97" t="s">
        <v>290</v>
      </c>
      <c r="L113" s="331"/>
      <c r="M113" s="334"/>
      <c r="N113" s="334"/>
      <c r="O113" s="379"/>
      <c r="P113" s="382"/>
    </row>
    <row r="114" spans="1:16" ht="24" customHeight="1">
      <c r="A114" s="341"/>
      <c r="B114" s="102"/>
      <c r="C114" s="354"/>
      <c r="D114" s="395"/>
      <c r="E114" s="341"/>
      <c r="F114" s="147" t="s">
        <v>278</v>
      </c>
      <c r="G114" s="135">
        <v>1056280</v>
      </c>
      <c r="H114" s="326"/>
      <c r="I114" s="329"/>
      <c r="J114" s="103"/>
      <c r="K114" s="102"/>
      <c r="L114" s="332"/>
      <c r="M114" s="335"/>
      <c r="N114" s="335"/>
      <c r="O114" s="380"/>
      <c r="P114" s="383"/>
    </row>
    <row r="115" spans="1:16" ht="24" customHeight="1">
      <c r="A115" s="364">
        <v>26</v>
      </c>
      <c r="B115" s="94" t="s">
        <v>67</v>
      </c>
      <c r="C115" s="342">
        <v>467200</v>
      </c>
      <c r="D115" s="342">
        <v>442211</v>
      </c>
      <c r="E115" s="364" t="s">
        <v>56</v>
      </c>
      <c r="F115" s="324" t="s">
        <v>285</v>
      </c>
      <c r="G115" s="327">
        <v>433363</v>
      </c>
      <c r="H115" s="324" t="s">
        <v>285</v>
      </c>
      <c r="I115" s="327">
        <v>433363</v>
      </c>
      <c r="J115" s="111"/>
      <c r="K115" s="96"/>
      <c r="L115" s="330" t="s">
        <v>159</v>
      </c>
      <c r="M115" s="333" t="s">
        <v>59</v>
      </c>
      <c r="N115" s="333"/>
      <c r="O115" s="336">
        <v>243984</v>
      </c>
      <c r="P115" s="319" t="s">
        <v>125</v>
      </c>
    </row>
    <row r="116" spans="1:16" ht="24" customHeight="1">
      <c r="A116" s="360"/>
      <c r="B116" s="97" t="s">
        <v>160</v>
      </c>
      <c r="C116" s="343"/>
      <c r="D116" s="343"/>
      <c r="E116" s="360"/>
      <c r="F116" s="325"/>
      <c r="G116" s="328"/>
      <c r="H116" s="325"/>
      <c r="I116" s="328"/>
      <c r="J116" s="98" t="s">
        <v>71</v>
      </c>
      <c r="K116" s="100" t="s">
        <v>291</v>
      </c>
      <c r="L116" s="331"/>
      <c r="M116" s="334"/>
      <c r="N116" s="334"/>
      <c r="O116" s="337"/>
      <c r="P116" s="320"/>
    </row>
    <row r="117" spans="1:16" ht="24" customHeight="1">
      <c r="A117" s="360"/>
      <c r="B117" s="97" t="s">
        <v>292</v>
      </c>
      <c r="C117" s="343"/>
      <c r="D117" s="343"/>
      <c r="E117" s="360"/>
      <c r="F117" s="325"/>
      <c r="G117" s="328"/>
      <c r="H117" s="325"/>
      <c r="I117" s="328"/>
      <c r="J117" s="98" t="s">
        <v>65</v>
      </c>
      <c r="K117" s="97" t="s">
        <v>293</v>
      </c>
      <c r="L117" s="331"/>
      <c r="M117" s="334"/>
      <c r="N117" s="334"/>
      <c r="O117" s="337"/>
      <c r="P117" s="320"/>
    </row>
    <row r="118" spans="1:16" ht="24" customHeight="1">
      <c r="A118" s="360"/>
      <c r="B118" s="112"/>
      <c r="C118" s="343"/>
      <c r="D118" s="343"/>
      <c r="E118" s="360"/>
      <c r="F118" s="326"/>
      <c r="G118" s="329"/>
      <c r="H118" s="325"/>
      <c r="I118" s="328"/>
      <c r="J118" s="139"/>
      <c r="K118" s="98"/>
      <c r="L118" s="332"/>
      <c r="M118" s="334"/>
      <c r="N118" s="334"/>
      <c r="O118" s="338"/>
      <c r="P118" s="321"/>
    </row>
    <row r="119" spans="1:16" ht="24" customHeight="1">
      <c r="A119" s="364">
        <v>27</v>
      </c>
      <c r="B119" s="94" t="s">
        <v>67</v>
      </c>
      <c r="C119" s="342">
        <v>467200</v>
      </c>
      <c r="D119" s="342">
        <v>405457</v>
      </c>
      <c r="E119" s="364" t="s">
        <v>56</v>
      </c>
      <c r="F119" s="324" t="s">
        <v>200</v>
      </c>
      <c r="G119" s="327">
        <v>397262</v>
      </c>
      <c r="H119" s="324" t="s">
        <v>200</v>
      </c>
      <c r="I119" s="327">
        <v>397262</v>
      </c>
      <c r="J119" s="111"/>
      <c r="K119" s="96"/>
      <c r="L119" s="330" t="s">
        <v>159</v>
      </c>
      <c r="M119" s="333" t="s">
        <v>59</v>
      </c>
      <c r="N119" s="333"/>
      <c r="O119" s="336">
        <v>243984</v>
      </c>
      <c r="P119" s="319" t="s">
        <v>125</v>
      </c>
    </row>
    <row r="120" spans="1:16" ht="24" customHeight="1">
      <c r="A120" s="360"/>
      <c r="B120" s="97" t="s">
        <v>160</v>
      </c>
      <c r="C120" s="343"/>
      <c r="D120" s="343"/>
      <c r="E120" s="360"/>
      <c r="F120" s="325"/>
      <c r="G120" s="328"/>
      <c r="H120" s="325"/>
      <c r="I120" s="328"/>
      <c r="J120" s="98" t="s">
        <v>71</v>
      </c>
      <c r="K120" s="100" t="s">
        <v>294</v>
      </c>
      <c r="L120" s="331"/>
      <c r="M120" s="334"/>
      <c r="N120" s="334"/>
      <c r="O120" s="337"/>
      <c r="P120" s="320"/>
    </row>
    <row r="121" spans="1:16" ht="24" customHeight="1">
      <c r="A121" s="360"/>
      <c r="B121" s="97" t="s">
        <v>295</v>
      </c>
      <c r="C121" s="343"/>
      <c r="D121" s="343"/>
      <c r="E121" s="360"/>
      <c r="F121" s="325"/>
      <c r="G121" s="328"/>
      <c r="H121" s="325"/>
      <c r="I121" s="328"/>
      <c r="J121" s="98" t="s">
        <v>65</v>
      </c>
      <c r="K121" s="97" t="s">
        <v>296</v>
      </c>
      <c r="L121" s="331"/>
      <c r="M121" s="334"/>
      <c r="N121" s="334"/>
      <c r="O121" s="337"/>
      <c r="P121" s="320"/>
    </row>
    <row r="122" spans="1:16" ht="24" customHeight="1">
      <c r="A122" s="361"/>
      <c r="B122" s="112"/>
      <c r="C122" s="344"/>
      <c r="D122" s="344"/>
      <c r="E122" s="361"/>
      <c r="F122" s="326"/>
      <c r="G122" s="329"/>
      <c r="H122" s="326"/>
      <c r="I122" s="329"/>
      <c r="J122" s="113"/>
      <c r="K122" s="103"/>
      <c r="L122" s="332"/>
      <c r="M122" s="335"/>
      <c r="N122" s="335"/>
      <c r="O122" s="338"/>
      <c r="P122" s="321"/>
    </row>
    <row r="123" spans="1:16" ht="24" customHeight="1">
      <c r="A123" s="360">
        <v>28</v>
      </c>
      <c r="B123" s="97" t="s">
        <v>297</v>
      </c>
      <c r="C123" s="399">
        <v>255676</v>
      </c>
      <c r="D123" s="343">
        <v>273573.32</v>
      </c>
      <c r="E123" s="360" t="s">
        <v>56</v>
      </c>
      <c r="F123" s="105" t="s">
        <v>298</v>
      </c>
      <c r="G123" s="89">
        <v>273573.32</v>
      </c>
      <c r="H123" s="324" t="s">
        <v>298</v>
      </c>
      <c r="I123" s="327">
        <v>273573.32</v>
      </c>
      <c r="J123" s="139"/>
      <c r="K123" s="98"/>
      <c r="L123" s="330" t="s">
        <v>124</v>
      </c>
      <c r="M123" s="333" t="s">
        <v>59</v>
      </c>
      <c r="N123" s="333"/>
      <c r="O123" s="336">
        <v>243984</v>
      </c>
      <c r="P123" s="319" t="s">
        <v>125</v>
      </c>
    </row>
    <row r="124" spans="1:16" ht="24" customHeight="1">
      <c r="A124" s="360"/>
      <c r="B124" s="138" t="s">
        <v>2</v>
      </c>
      <c r="C124" s="399"/>
      <c r="D124" s="343"/>
      <c r="E124" s="360"/>
      <c r="F124" s="348" t="s">
        <v>299</v>
      </c>
      <c r="G124" s="350">
        <v>311798</v>
      </c>
      <c r="H124" s="325"/>
      <c r="I124" s="328"/>
      <c r="J124" s="98" t="s">
        <v>61</v>
      </c>
      <c r="K124" s="100" t="s">
        <v>300</v>
      </c>
      <c r="L124" s="331"/>
      <c r="M124" s="334"/>
      <c r="N124" s="334"/>
      <c r="O124" s="337"/>
      <c r="P124" s="320"/>
    </row>
    <row r="125" spans="1:16" ht="24" customHeight="1">
      <c r="A125" s="360"/>
      <c r="B125" s="138" t="s">
        <v>301</v>
      </c>
      <c r="C125" s="399"/>
      <c r="D125" s="343"/>
      <c r="E125" s="360"/>
      <c r="F125" s="348"/>
      <c r="G125" s="350"/>
      <c r="H125" s="325"/>
      <c r="I125" s="328"/>
      <c r="J125" s="98" t="s">
        <v>65</v>
      </c>
      <c r="K125" s="97" t="s">
        <v>302</v>
      </c>
      <c r="L125" s="331"/>
      <c r="M125" s="334"/>
      <c r="N125" s="334"/>
      <c r="O125" s="337"/>
      <c r="P125" s="320"/>
    </row>
    <row r="126" spans="1:16" ht="24" customHeight="1">
      <c r="A126" s="361"/>
      <c r="B126" s="112"/>
      <c r="C126" s="400"/>
      <c r="D126" s="344"/>
      <c r="E126" s="361"/>
      <c r="F126" s="147" t="s">
        <v>303</v>
      </c>
      <c r="G126" s="135">
        <v>339318.4</v>
      </c>
      <c r="H126" s="326"/>
      <c r="I126" s="329"/>
      <c r="J126" s="113"/>
      <c r="K126" s="103"/>
      <c r="L126" s="332"/>
      <c r="M126" s="335"/>
      <c r="N126" s="335"/>
      <c r="O126" s="338"/>
      <c r="P126" s="321"/>
    </row>
    <row r="127" spans="1:16" ht="24" customHeight="1">
      <c r="A127" s="364">
        <v>29</v>
      </c>
      <c r="B127" s="94" t="s">
        <v>67</v>
      </c>
      <c r="C127" s="342">
        <v>360000</v>
      </c>
      <c r="D127" s="342">
        <v>381340</v>
      </c>
      <c r="E127" s="364" t="s">
        <v>56</v>
      </c>
      <c r="F127" s="324" t="s">
        <v>304</v>
      </c>
      <c r="G127" s="327">
        <v>373675</v>
      </c>
      <c r="H127" s="324" t="s">
        <v>304</v>
      </c>
      <c r="I127" s="327">
        <v>373675</v>
      </c>
      <c r="J127" s="111"/>
      <c r="K127" s="96"/>
      <c r="L127" s="330" t="s">
        <v>159</v>
      </c>
      <c r="M127" s="333" t="s">
        <v>59</v>
      </c>
      <c r="N127" s="333"/>
      <c r="O127" s="336">
        <v>244015</v>
      </c>
      <c r="P127" s="319" t="s">
        <v>125</v>
      </c>
    </row>
    <row r="128" spans="1:16" ht="24" customHeight="1">
      <c r="A128" s="360"/>
      <c r="B128" s="97" t="s">
        <v>160</v>
      </c>
      <c r="C128" s="343"/>
      <c r="D128" s="343"/>
      <c r="E128" s="360"/>
      <c r="F128" s="325"/>
      <c r="G128" s="328"/>
      <c r="H128" s="325"/>
      <c r="I128" s="328"/>
      <c r="J128" s="98" t="s">
        <v>71</v>
      </c>
      <c r="K128" s="100" t="s">
        <v>305</v>
      </c>
      <c r="L128" s="331"/>
      <c r="M128" s="334"/>
      <c r="N128" s="334"/>
      <c r="O128" s="337"/>
      <c r="P128" s="320"/>
    </row>
    <row r="129" spans="1:16" ht="24" customHeight="1">
      <c r="A129" s="360"/>
      <c r="B129" s="97" t="s">
        <v>306</v>
      </c>
      <c r="C129" s="343"/>
      <c r="D129" s="343"/>
      <c r="E129" s="360"/>
      <c r="F129" s="325"/>
      <c r="G129" s="328"/>
      <c r="H129" s="325"/>
      <c r="I129" s="328"/>
      <c r="J129" s="98" t="s">
        <v>65</v>
      </c>
      <c r="K129" s="97" t="s">
        <v>307</v>
      </c>
      <c r="L129" s="331"/>
      <c r="M129" s="334"/>
      <c r="N129" s="334"/>
      <c r="O129" s="337"/>
      <c r="P129" s="320"/>
    </row>
    <row r="130" spans="1:16" ht="24" customHeight="1">
      <c r="A130" s="360"/>
      <c r="B130" s="112"/>
      <c r="C130" s="343"/>
      <c r="D130" s="343"/>
      <c r="E130" s="360"/>
      <c r="F130" s="326"/>
      <c r="G130" s="329"/>
      <c r="H130" s="326"/>
      <c r="I130" s="328"/>
      <c r="J130" s="139"/>
      <c r="K130" s="98"/>
      <c r="L130" s="332"/>
      <c r="M130" s="334"/>
      <c r="N130" s="334"/>
      <c r="O130" s="338"/>
      <c r="P130" s="321"/>
    </row>
    <row r="131" spans="1:16" ht="24" customHeight="1">
      <c r="A131" s="364">
        <v>30</v>
      </c>
      <c r="B131" s="94" t="s">
        <v>308</v>
      </c>
      <c r="C131" s="342">
        <v>42500</v>
      </c>
      <c r="D131" s="342">
        <v>45475</v>
      </c>
      <c r="E131" s="364" t="s">
        <v>56</v>
      </c>
      <c r="F131" s="324" t="s">
        <v>309</v>
      </c>
      <c r="G131" s="327">
        <v>45475</v>
      </c>
      <c r="H131" s="324" t="s">
        <v>309</v>
      </c>
      <c r="I131" s="327">
        <v>45475</v>
      </c>
      <c r="J131" s="111"/>
      <c r="K131" s="96"/>
      <c r="L131" s="330" t="s">
        <v>310</v>
      </c>
      <c r="M131" s="333" t="s">
        <v>59</v>
      </c>
      <c r="N131" s="333"/>
      <c r="O131" s="336">
        <v>244015</v>
      </c>
      <c r="P131" s="319" t="s">
        <v>125</v>
      </c>
    </row>
    <row r="132" spans="1:16" ht="24" customHeight="1">
      <c r="A132" s="360"/>
      <c r="B132" s="97" t="s">
        <v>311</v>
      </c>
      <c r="C132" s="343"/>
      <c r="D132" s="343"/>
      <c r="E132" s="360"/>
      <c r="F132" s="325"/>
      <c r="G132" s="328"/>
      <c r="H132" s="325"/>
      <c r="I132" s="328"/>
      <c r="J132" s="98" t="s">
        <v>61</v>
      </c>
      <c r="K132" s="100" t="s">
        <v>312</v>
      </c>
      <c r="L132" s="331"/>
      <c r="M132" s="334"/>
      <c r="N132" s="334"/>
      <c r="O132" s="337"/>
      <c r="P132" s="320"/>
    </row>
    <row r="133" spans="1:16" ht="24" customHeight="1">
      <c r="A133" s="360"/>
      <c r="B133" s="97" t="s">
        <v>313</v>
      </c>
      <c r="C133" s="343"/>
      <c r="D133" s="343"/>
      <c r="E133" s="360"/>
      <c r="F133" s="107" t="s">
        <v>314</v>
      </c>
      <c r="G133" s="99">
        <v>54570</v>
      </c>
      <c r="H133" s="325"/>
      <c r="I133" s="328"/>
      <c r="J133" s="98" t="s">
        <v>65</v>
      </c>
      <c r="K133" s="97" t="s">
        <v>315</v>
      </c>
      <c r="L133" s="331"/>
      <c r="M133" s="334"/>
      <c r="N133" s="334"/>
      <c r="O133" s="337"/>
      <c r="P133" s="320"/>
    </row>
    <row r="134" spans="1:16" ht="24" customHeight="1">
      <c r="A134" s="361"/>
      <c r="B134" s="112"/>
      <c r="C134" s="344"/>
      <c r="D134" s="344"/>
      <c r="E134" s="361"/>
      <c r="F134" s="147" t="s">
        <v>316</v>
      </c>
      <c r="G134" s="135">
        <v>63665</v>
      </c>
      <c r="H134" s="326"/>
      <c r="I134" s="329"/>
      <c r="J134" s="113"/>
      <c r="K134" s="103"/>
      <c r="L134" s="332"/>
      <c r="M134" s="335"/>
      <c r="N134" s="335"/>
      <c r="O134" s="338"/>
      <c r="P134" s="321"/>
    </row>
    <row r="135" spans="1:16" ht="24" customHeight="1">
      <c r="A135" s="360">
        <v>31</v>
      </c>
      <c r="B135" s="97" t="s">
        <v>317</v>
      </c>
      <c r="C135" s="399">
        <v>39158.879999999997</v>
      </c>
      <c r="D135" s="343">
        <v>41900</v>
      </c>
      <c r="E135" s="360" t="s">
        <v>56</v>
      </c>
      <c r="F135" s="105" t="s">
        <v>261</v>
      </c>
      <c r="G135" s="89">
        <v>41900</v>
      </c>
      <c r="H135" s="324" t="s">
        <v>261</v>
      </c>
      <c r="I135" s="327">
        <v>41900</v>
      </c>
      <c r="J135" s="139"/>
      <c r="K135" s="98"/>
      <c r="L135" s="330" t="s">
        <v>262</v>
      </c>
      <c r="M135" s="333" t="s">
        <v>59</v>
      </c>
      <c r="N135" s="333"/>
      <c r="O135" s="336">
        <v>244015</v>
      </c>
      <c r="P135" s="319" t="s">
        <v>125</v>
      </c>
    </row>
    <row r="136" spans="1:16" ht="24" customHeight="1">
      <c r="A136" s="360"/>
      <c r="B136" s="138" t="s">
        <v>318</v>
      </c>
      <c r="C136" s="399"/>
      <c r="D136" s="343"/>
      <c r="E136" s="360"/>
      <c r="F136" s="107" t="s">
        <v>264</v>
      </c>
      <c r="G136" s="99">
        <v>50589.599999999999</v>
      </c>
      <c r="H136" s="325"/>
      <c r="I136" s="328"/>
      <c r="J136" s="98" t="s">
        <v>61</v>
      </c>
      <c r="K136" s="100" t="s">
        <v>319</v>
      </c>
      <c r="L136" s="331"/>
      <c r="M136" s="334"/>
      <c r="N136" s="334"/>
      <c r="O136" s="337"/>
      <c r="P136" s="320"/>
    </row>
    <row r="137" spans="1:16" ht="24" customHeight="1">
      <c r="A137" s="360"/>
      <c r="B137" s="138" t="s">
        <v>320</v>
      </c>
      <c r="C137" s="399"/>
      <c r="D137" s="343"/>
      <c r="E137" s="360"/>
      <c r="F137" s="348" t="s">
        <v>267</v>
      </c>
      <c r="G137" s="350">
        <v>51884.3</v>
      </c>
      <c r="H137" s="325"/>
      <c r="I137" s="328"/>
      <c r="J137" s="98" t="s">
        <v>65</v>
      </c>
      <c r="K137" s="97" t="s">
        <v>321</v>
      </c>
      <c r="L137" s="331"/>
      <c r="M137" s="334"/>
      <c r="N137" s="334"/>
      <c r="O137" s="337"/>
      <c r="P137" s="320"/>
    </row>
    <row r="138" spans="1:16" ht="24" customHeight="1">
      <c r="A138" s="361"/>
      <c r="B138" s="112"/>
      <c r="C138" s="400"/>
      <c r="D138" s="344"/>
      <c r="E138" s="361"/>
      <c r="F138" s="349"/>
      <c r="G138" s="351"/>
      <c r="H138" s="326"/>
      <c r="I138" s="329"/>
      <c r="J138" s="113"/>
      <c r="K138" s="103"/>
      <c r="L138" s="332"/>
      <c r="M138" s="335"/>
      <c r="N138" s="335"/>
      <c r="O138" s="338"/>
      <c r="P138" s="321"/>
    </row>
    <row r="139" spans="1:16" ht="24" customHeight="1">
      <c r="A139" s="364">
        <v>32</v>
      </c>
      <c r="B139" s="94" t="s">
        <v>67</v>
      </c>
      <c r="C139" s="384">
        <v>4672000</v>
      </c>
      <c r="D139" s="384">
        <v>4032992</v>
      </c>
      <c r="E139" s="364" t="s">
        <v>186</v>
      </c>
      <c r="F139" s="88" t="s">
        <v>200</v>
      </c>
      <c r="G139" s="89">
        <v>2498000</v>
      </c>
      <c r="H139" s="365" t="s">
        <v>200</v>
      </c>
      <c r="I139" s="391">
        <v>2496972</v>
      </c>
      <c r="J139" s="88"/>
      <c r="K139" s="88"/>
      <c r="L139" s="330" t="s">
        <v>159</v>
      </c>
      <c r="M139" s="333" t="s">
        <v>59</v>
      </c>
      <c r="N139" s="333"/>
      <c r="O139" s="378">
        <v>244015</v>
      </c>
      <c r="P139" s="381" t="s">
        <v>125</v>
      </c>
    </row>
    <row r="140" spans="1:16" ht="24" customHeight="1">
      <c r="A140" s="360"/>
      <c r="B140" s="97" t="s">
        <v>160</v>
      </c>
      <c r="C140" s="385"/>
      <c r="D140" s="385"/>
      <c r="E140" s="360"/>
      <c r="F140" s="98" t="s">
        <v>252</v>
      </c>
      <c r="G140" s="99">
        <v>2779000</v>
      </c>
      <c r="H140" s="362"/>
      <c r="I140" s="392"/>
      <c r="J140" s="148"/>
      <c r="K140" s="148"/>
      <c r="L140" s="331"/>
      <c r="M140" s="334"/>
      <c r="N140" s="334"/>
      <c r="O140" s="379"/>
      <c r="P140" s="382"/>
    </row>
    <row r="141" spans="1:16" ht="24" customHeight="1">
      <c r="A141" s="360"/>
      <c r="B141" s="97" t="s">
        <v>322</v>
      </c>
      <c r="C141" s="385"/>
      <c r="D141" s="385"/>
      <c r="E141" s="360"/>
      <c r="F141" s="98" t="s">
        <v>278</v>
      </c>
      <c r="G141" s="99">
        <v>2903750</v>
      </c>
      <c r="H141" s="362"/>
      <c r="I141" s="392"/>
      <c r="J141" s="98" t="s">
        <v>61</v>
      </c>
      <c r="K141" s="100" t="s">
        <v>323</v>
      </c>
      <c r="L141" s="331"/>
      <c r="M141" s="334"/>
      <c r="N141" s="334"/>
      <c r="O141" s="379"/>
      <c r="P141" s="382"/>
    </row>
    <row r="142" spans="1:16" ht="24" customHeight="1">
      <c r="A142" s="360"/>
      <c r="B142" s="97"/>
      <c r="C142" s="385"/>
      <c r="D142" s="385"/>
      <c r="E142" s="360"/>
      <c r="F142" s="348" t="s">
        <v>158</v>
      </c>
      <c r="G142" s="350">
        <v>2940000</v>
      </c>
      <c r="H142" s="362"/>
      <c r="I142" s="392"/>
      <c r="J142" s="98" t="s">
        <v>65</v>
      </c>
      <c r="K142" s="97" t="s">
        <v>324</v>
      </c>
      <c r="L142" s="331"/>
      <c r="M142" s="334"/>
      <c r="N142" s="334"/>
      <c r="O142" s="379"/>
      <c r="P142" s="382"/>
    </row>
    <row r="143" spans="1:16" ht="24" customHeight="1">
      <c r="A143" s="360"/>
      <c r="B143" s="97"/>
      <c r="C143" s="385"/>
      <c r="D143" s="385"/>
      <c r="E143" s="360"/>
      <c r="F143" s="348"/>
      <c r="G143" s="350"/>
      <c r="H143" s="362"/>
      <c r="I143" s="392"/>
      <c r="J143" s="98"/>
      <c r="K143" s="97"/>
      <c r="L143" s="331"/>
      <c r="M143" s="334"/>
      <c r="N143" s="334"/>
      <c r="O143" s="379"/>
      <c r="P143" s="382"/>
    </row>
    <row r="144" spans="1:16" ht="24" customHeight="1">
      <c r="A144" s="360"/>
      <c r="B144" s="97"/>
      <c r="C144" s="385"/>
      <c r="D144" s="385"/>
      <c r="E144" s="360"/>
      <c r="F144" s="98" t="s">
        <v>285</v>
      </c>
      <c r="G144" s="99">
        <v>3000000</v>
      </c>
      <c r="H144" s="362"/>
      <c r="I144" s="392"/>
      <c r="J144" s="98"/>
      <c r="K144" s="97"/>
      <c r="L144" s="331"/>
      <c r="M144" s="334"/>
      <c r="N144" s="334"/>
      <c r="O144" s="379"/>
      <c r="P144" s="382"/>
    </row>
    <row r="145" spans="1:16" ht="24" customHeight="1">
      <c r="A145" s="361"/>
      <c r="B145" s="102"/>
      <c r="C145" s="386"/>
      <c r="D145" s="386"/>
      <c r="E145" s="361"/>
      <c r="F145" s="103" t="s">
        <v>325</v>
      </c>
      <c r="G145" s="135">
        <v>4649000</v>
      </c>
      <c r="H145" s="363"/>
      <c r="I145" s="393"/>
      <c r="J145" s="134"/>
      <c r="K145" s="134"/>
      <c r="L145" s="332"/>
      <c r="M145" s="335"/>
      <c r="N145" s="335"/>
      <c r="O145" s="380"/>
      <c r="P145" s="383"/>
    </row>
    <row r="146" spans="1:16" ht="24" customHeight="1">
      <c r="A146" s="360">
        <v>33</v>
      </c>
      <c r="B146" s="94" t="s">
        <v>67</v>
      </c>
      <c r="C146" s="343">
        <v>4672000</v>
      </c>
      <c r="D146" s="344">
        <v>4775708</v>
      </c>
      <c r="E146" s="340" t="s">
        <v>186</v>
      </c>
      <c r="F146" s="324" t="s">
        <v>158</v>
      </c>
      <c r="G146" s="327">
        <v>2880000</v>
      </c>
      <c r="H146" s="325" t="s">
        <v>158</v>
      </c>
      <c r="I146" s="328">
        <v>2877996</v>
      </c>
      <c r="J146" s="98"/>
      <c r="K146" s="98"/>
      <c r="L146" s="331" t="s">
        <v>159</v>
      </c>
      <c r="M146" s="334" t="s">
        <v>59</v>
      </c>
      <c r="N146" s="334"/>
      <c r="O146" s="378">
        <v>244015</v>
      </c>
      <c r="P146" s="381" t="s">
        <v>125</v>
      </c>
    </row>
    <row r="147" spans="1:16" ht="24" customHeight="1">
      <c r="A147" s="360"/>
      <c r="B147" s="97" t="s">
        <v>160</v>
      </c>
      <c r="C147" s="343"/>
      <c r="D147" s="344"/>
      <c r="E147" s="340"/>
      <c r="F147" s="325"/>
      <c r="G147" s="328"/>
      <c r="H147" s="325"/>
      <c r="I147" s="328"/>
      <c r="J147" s="98"/>
      <c r="K147" s="98"/>
      <c r="L147" s="331"/>
      <c r="M147" s="334"/>
      <c r="N147" s="334"/>
      <c r="O147" s="379"/>
      <c r="P147" s="382"/>
    </row>
    <row r="148" spans="1:16" ht="24" customHeight="1">
      <c r="A148" s="360"/>
      <c r="B148" s="97" t="s">
        <v>326</v>
      </c>
      <c r="C148" s="343"/>
      <c r="D148" s="395"/>
      <c r="E148" s="340"/>
      <c r="F148" s="107" t="s">
        <v>200</v>
      </c>
      <c r="G148" s="99">
        <v>2948000</v>
      </c>
      <c r="H148" s="325"/>
      <c r="I148" s="328"/>
      <c r="J148" s="98"/>
      <c r="K148" s="100"/>
      <c r="L148" s="331"/>
      <c r="M148" s="334"/>
      <c r="N148" s="334"/>
      <c r="O148" s="379"/>
      <c r="P148" s="382"/>
    </row>
    <row r="149" spans="1:16" ht="24" customHeight="1">
      <c r="A149" s="360"/>
      <c r="B149" s="151"/>
      <c r="C149" s="343"/>
      <c r="D149" s="395"/>
      <c r="E149" s="340"/>
      <c r="F149" s="107" t="s">
        <v>278</v>
      </c>
      <c r="G149" s="99">
        <v>3342900</v>
      </c>
      <c r="H149" s="325"/>
      <c r="I149" s="328"/>
      <c r="J149" s="98"/>
      <c r="K149" s="97"/>
      <c r="L149" s="331"/>
      <c r="M149" s="334"/>
      <c r="N149" s="334"/>
      <c r="O149" s="379"/>
      <c r="P149" s="382"/>
    </row>
    <row r="150" spans="1:16" ht="24" customHeight="1">
      <c r="A150" s="360"/>
      <c r="B150" s="151"/>
      <c r="C150" s="343"/>
      <c r="D150" s="395"/>
      <c r="E150" s="340"/>
      <c r="F150" s="107" t="s">
        <v>327</v>
      </c>
      <c r="G150" s="99">
        <v>3342995.6</v>
      </c>
      <c r="H150" s="325"/>
      <c r="I150" s="328"/>
      <c r="J150" s="98"/>
      <c r="K150" s="97"/>
      <c r="L150" s="331"/>
      <c r="M150" s="334"/>
      <c r="N150" s="334"/>
      <c r="O150" s="379"/>
      <c r="P150" s="382"/>
    </row>
    <row r="151" spans="1:16" ht="24" customHeight="1">
      <c r="A151" s="360"/>
      <c r="B151" s="151"/>
      <c r="C151" s="343"/>
      <c r="D151" s="395"/>
      <c r="E151" s="340"/>
      <c r="F151" s="107" t="s">
        <v>328</v>
      </c>
      <c r="G151" s="99">
        <v>3460000</v>
      </c>
      <c r="H151" s="325"/>
      <c r="I151" s="328"/>
      <c r="J151" s="98" t="s">
        <v>61</v>
      </c>
      <c r="K151" s="100" t="s">
        <v>329</v>
      </c>
      <c r="L151" s="331"/>
      <c r="M151" s="334"/>
      <c r="N151" s="334"/>
      <c r="O151" s="379"/>
      <c r="P151" s="382"/>
    </row>
    <row r="152" spans="1:16" ht="24" customHeight="1">
      <c r="A152" s="360"/>
      <c r="B152" s="151"/>
      <c r="C152" s="343"/>
      <c r="D152" s="395"/>
      <c r="E152" s="340"/>
      <c r="F152" s="107" t="s">
        <v>285</v>
      </c>
      <c r="G152" s="99">
        <v>3500000</v>
      </c>
      <c r="H152" s="325"/>
      <c r="I152" s="328"/>
      <c r="J152" s="98" t="s">
        <v>65</v>
      </c>
      <c r="K152" s="97" t="s">
        <v>330</v>
      </c>
      <c r="L152" s="331"/>
      <c r="M152" s="334"/>
      <c r="N152" s="334"/>
      <c r="O152" s="379"/>
      <c r="P152" s="382"/>
    </row>
    <row r="153" spans="1:16" ht="24" customHeight="1">
      <c r="A153" s="360"/>
      <c r="B153" s="151"/>
      <c r="C153" s="343"/>
      <c r="D153" s="395"/>
      <c r="E153" s="340"/>
      <c r="F153" s="107" t="s">
        <v>252</v>
      </c>
      <c r="G153" s="99">
        <v>3529000</v>
      </c>
      <c r="H153" s="325"/>
      <c r="I153" s="328"/>
      <c r="J153" s="98"/>
      <c r="K153" s="97"/>
      <c r="L153" s="331"/>
      <c r="M153" s="334"/>
      <c r="N153" s="334"/>
      <c r="O153" s="379"/>
      <c r="P153" s="382"/>
    </row>
    <row r="154" spans="1:16" ht="24" customHeight="1">
      <c r="A154" s="360"/>
      <c r="B154" s="151"/>
      <c r="C154" s="343"/>
      <c r="D154" s="395"/>
      <c r="E154" s="340"/>
      <c r="F154" s="107" t="s">
        <v>325</v>
      </c>
      <c r="G154" s="99">
        <v>3570000</v>
      </c>
      <c r="H154" s="325"/>
      <c r="I154" s="328"/>
      <c r="J154" s="98"/>
      <c r="K154" s="97"/>
      <c r="L154" s="331"/>
      <c r="M154" s="334"/>
      <c r="N154" s="334"/>
      <c r="O154" s="379"/>
      <c r="P154" s="382"/>
    </row>
    <row r="155" spans="1:16" ht="24" customHeight="1">
      <c r="A155" s="360"/>
      <c r="B155" s="151"/>
      <c r="C155" s="343"/>
      <c r="D155" s="395"/>
      <c r="E155" s="340"/>
      <c r="F155" s="107" t="s">
        <v>331</v>
      </c>
      <c r="G155" s="99">
        <v>3973300</v>
      </c>
      <c r="H155" s="325"/>
      <c r="I155" s="328"/>
      <c r="J155" s="98"/>
      <c r="K155" s="97"/>
      <c r="L155" s="331"/>
      <c r="M155" s="334"/>
      <c r="N155" s="334"/>
      <c r="O155" s="379"/>
      <c r="P155" s="382"/>
    </row>
    <row r="156" spans="1:16" ht="24" customHeight="1">
      <c r="A156" s="341"/>
      <c r="B156" s="102"/>
      <c r="C156" s="354"/>
      <c r="D156" s="395"/>
      <c r="E156" s="341"/>
      <c r="F156" s="147" t="s">
        <v>332</v>
      </c>
      <c r="G156" s="135">
        <v>4700000</v>
      </c>
      <c r="H156" s="326"/>
      <c r="I156" s="329"/>
      <c r="J156" s="103"/>
      <c r="K156" s="102"/>
      <c r="L156" s="332"/>
      <c r="M156" s="335"/>
      <c r="N156" s="335"/>
      <c r="O156" s="380"/>
      <c r="P156" s="383"/>
    </row>
    <row r="157" spans="1:16" ht="24" customHeight="1">
      <c r="A157" s="364">
        <v>34</v>
      </c>
      <c r="B157" s="94" t="s">
        <v>333</v>
      </c>
      <c r="C157" s="342">
        <v>1100</v>
      </c>
      <c r="D157" s="342">
        <v>1177</v>
      </c>
      <c r="E157" s="364" t="s">
        <v>56</v>
      </c>
      <c r="F157" s="105" t="s">
        <v>89</v>
      </c>
      <c r="G157" s="89">
        <v>1177</v>
      </c>
      <c r="H157" s="324" t="s">
        <v>89</v>
      </c>
      <c r="I157" s="327">
        <v>1177</v>
      </c>
      <c r="J157" s="111"/>
      <c r="K157" s="96"/>
      <c r="L157" s="330" t="s">
        <v>90</v>
      </c>
      <c r="M157" s="333" t="s">
        <v>59</v>
      </c>
      <c r="N157" s="333"/>
      <c r="O157" s="336">
        <v>244044</v>
      </c>
      <c r="P157" s="319" t="s">
        <v>125</v>
      </c>
    </row>
    <row r="158" spans="1:16" ht="24" customHeight="1">
      <c r="A158" s="360"/>
      <c r="B158" s="97" t="s">
        <v>334</v>
      </c>
      <c r="C158" s="343"/>
      <c r="D158" s="343"/>
      <c r="E158" s="360"/>
      <c r="F158" s="348" t="s">
        <v>335</v>
      </c>
      <c r="G158" s="350">
        <v>1498</v>
      </c>
      <c r="H158" s="325"/>
      <c r="I158" s="328"/>
      <c r="J158" s="98" t="s">
        <v>61</v>
      </c>
      <c r="K158" s="100" t="s">
        <v>336</v>
      </c>
      <c r="L158" s="331"/>
      <c r="M158" s="334"/>
      <c r="N158" s="334"/>
      <c r="O158" s="337"/>
      <c r="P158" s="320"/>
    </row>
    <row r="159" spans="1:16" ht="24" customHeight="1">
      <c r="A159" s="360"/>
      <c r="B159" s="97" t="s">
        <v>337</v>
      </c>
      <c r="C159" s="343"/>
      <c r="D159" s="343"/>
      <c r="E159" s="360"/>
      <c r="F159" s="348"/>
      <c r="G159" s="350"/>
      <c r="H159" s="325"/>
      <c r="I159" s="328"/>
      <c r="J159" s="98" t="s">
        <v>65</v>
      </c>
      <c r="K159" s="97" t="s">
        <v>338</v>
      </c>
      <c r="L159" s="331"/>
      <c r="M159" s="334"/>
      <c r="N159" s="334"/>
      <c r="O159" s="337"/>
      <c r="P159" s="320"/>
    </row>
    <row r="160" spans="1:16" ht="24" customHeight="1">
      <c r="A160" s="360"/>
      <c r="B160" s="138"/>
      <c r="C160" s="343"/>
      <c r="D160" s="343"/>
      <c r="E160" s="360"/>
      <c r="F160" s="107" t="s">
        <v>92</v>
      </c>
      <c r="G160" s="99">
        <v>1519.4</v>
      </c>
      <c r="H160" s="325"/>
      <c r="I160" s="328"/>
      <c r="J160" s="139"/>
      <c r="K160" s="98"/>
      <c r="L160" s="331"/>
      <c r="M160" s="334"/>
      <c r="N160" s="334"/>
      <c r="O160" s="338"/>
      <c r="P160" s="321"/>
    </row>
    <row r="161" spans="1:16" ht="24" customHeight="1">
      <c r="A161" s="364">
        <v>35</v>
      </c>
      <c r="B161" s="94" t="s">
        <v>67</v>
      </c>
      <c r="C161" s="342">
        <v>467200</v>
      </c>
      <c r="D161" s="342">
        <v>491698</v>
      </c>
      <c r="E161" s="364" t="s">
        <v>56</v>
      </c>
      <c r="F161" s="324" t="s">
        <v>68</v>
      </c>
      <c r="G161" s="327">
        <v>481733</v>
      </c>
      <c r="H161" s="324" t="s">
        <v>68</v>
      </c>
      <c r="I161" s="327">
        <v>481733</v>
      </c>
      <c r="J161" s="111"/>
      <c r="K161" s="96"/>
      <c r="L161" s="330" t="s">
        <v>159</v>
      </c>
      <c r="M161" s="333" t="s">
        <v>59</v>
      </c>
      <c r="N161" s="333"/>
      <c r="O161" s="336">
        <v>244044</v>
      </c>
      <c r="P161" s="319" t="s">
        <v>125</v>
      </c>
    </row>
    <row r="162" spans="1:16" ht="24" customHeight="1">
      <c r="A162" s="360"/>
      <c r="B162" s="97" t="s">
        <v>160</v>
      </c>
      <c r="C162" s="343"/>
      <c r="D162" s="343"/>
      <c r="E162" s="360"/>
      <c r="F162" s="325"/>
      <c r="G162" s="328"/>
      <c r="H162" s="325"/>
      <c r="I162" s="328"/>
      <c r="J162" s="98" t="s">
        <v>71</v>
      </c>
      <c r="K162" s="100" t="s">
        <v>339</v>
      </c>
      <c r="L162" s="331"/>
      <c r="M162" s="334"/>
      <c r="N162" s="334"/>
      <c r="O162" s="337"/>
      <c r="P162" s="320"/>
    </row>
    <row r="163" spans="1:16" ht="24" customHeight="1">
      <c r="A163" s="360"/>
      <c r="B163" s="97" t="s">
        <v>340</v>
      </c>
      <c r="C163" s="343"/>
      <c r="D163" s="343"/>
      <c r="E163" s="360"/>
      <c r="F163" s="325"/>
      <c r="G163" s="328"/>
      <c r="H163" s="325"/>
      <c r="I163" s="328"/>
      <c r="J163" s="98" t="s">
        <v>65</v>
      </c>
      <c r="K163" s="97" t="s">
        <v>341</v>
      </c>
      <c r="L163" s="331"/>
      <c r="M163" s="334"/>
      <c r="N163" s="334"/>
      <c r="O163" s="337"/>
      <c r="P163" s="320"/>
    </row>
    <row r="164" spans="1:16" ht="24" customHeight="1">
      <c r="A164" s="361"/>
      <c r="B164" s="112"/>
      <c r="C164" s="344"/>
      <c r="D164" s="344"/>
      <c r="E164" s="361"/>
      <c r="F164" s="326"/>
      <c r="G164" s="329"/>
      <c r="H164" s="326"/>
      <c r="I164" s="329"/>
      <c r="J164" s="113"/>
      <c r="K164" s="103"/>
      <c r="L164" s="331"/>
      <c r="M164" s="334"/>
      <c r="N164" s="335"/>
      <c r="O164" s="338"/>
      <c r="P164" s="321"/>
    </row>
    <row r="165" spans="1:16" ht="24" customHeight="1">
      <c r="A165" s="364">
        <v>36</v>
      </c>
      <c r="B165" s="136" t="s">
        <v>342</v>
      </c>
      <c r="C165" s="342">
        <v>8100</v>
      </c>
      <c r="D165" s="342">
        <v>8667</v>
      </c>
      <c r="E165" s="364" t="s">
        <v>56</v>
      </c>
      <c r="F165" s="325" t="s">
        <v>309</v>
      </c>
      <c r="G165" s="327">
        <v>8667</v>
      </c>
      <c r="H165" s="324" t="s">
        <v>309</v>
      </c>
      <c r="I165" s="327">
        <v>8667</v>
      </c>
      <c r="J165" s="111"/>
      <c r="K165" s="96"/>
      <c r="L165" s="330" t="s">
        <v>310</v>
      </c>
      <c r="M165" s="333" t="s">
        <v>59</v>
      </c>
      <c r="N165" s="333"/>
      <c r="O165" s="336">
        <v>244044</v>
      </c>
      <c r="P165" s="319" t="s">
        <v>125</v>
      </c>
    </row>
    <row r="166" spans="1:16" ht="24" customHeight="1">
      <c r="A166" s="360"/>
      <c r="B166" s="138" t="s">
        <v>343</v>
      </c>
      <c r="C166" s="343"/>
      <c r="D166" s="343"/>
      <c r="E166" s="360"/>
      <c r="F166" s="325"/>
      <c r="G166" s="328"/>
      <c r="H166" s="325"/>
      <c r="I166" s="328"/>
      <c r="J166" s="98" t="s">
        <v>61</v>
      </c>
      <c r="K166" s="100" t="s">
        <v>344</v>
      </c>
      <c r="L166" s="331"/>
      <c r="M166" s="334"/>
      <c r="N166" s="334"/>
      <c r="O166" s="337"/>
      <c r="P166" s="320"/>
    </row>
    <row r="167" spans="1:16" ht="24" customHeight="1">
      <c r="A167" s="360"/>
      <c r="B167" s="138" t="s">
        <v>345</v>
      </c>
      <c r="C167" s="343"/>
      <c r="D167" s="343"/>
      <c r="E167" s="360"/>
      <c r="F167" s="107" t="s">
        <v>314</v>
      </c>
      <c r="G167" s="99">
        <v>10486</v>
      </c>
      <c r="H167" s="325"/>
      <c r="I167" s="328"/>
      <c r="J167" s="98" t="s">
        <v>65</v>
      </c>
      <c r="K167" s="97" t="s">
        <v>346</v>
      </c>
      <c r="L167" s="331"/>
      <c r="M167" s="334"/>
      <c r="N167" s="334"/>
      <c r="O167" s="337"/>
      <c r="P167" s="320"/>
    </row>
    <row r="168" spans="1:16" ht="24" customHeight="1">
      <c r="A168" s="361"/>
      <c r="B168" s="112"/>
      <c r="C168" s="344"/>
      <c r="D168" s="344"/>
      <c r="E168" s="361"/>
      <c r="F168" s="147" t="s">
        <v>316</v>
      </c>
      <c r="G168" s="135">
        <v>11395.5</v>
      </c>
      <c r="H168" s="326"/>
      <c r="I168" s="329"/>
      <c r="J168" s="113"/>
      <c r="K168" s="103"/>
      <c r="L168" s="332"/>
      <c r="M168" s="334"/>
      <c r="N168" s="335"/>
      <c r="O168" s="338"/>
      <c r="P168" s="321"/>
    </row>
    <row r="169" spans="1:16" ht="24" customHeight="1">
      <c r="A169" s="364">
        <v>37</v>
      </c>
      <c r="B169" s="94" t="s">
        <v>67</v>
      </c>
      <c r="C169" s="342">
        <v>467200</v>
      </c>
      <c r="D169" s="342">
        <v>468416</v>
      </c>
      <c r="E169" s="364" t="s">
        <v>56</v>
      </c>
      <c r="F169" s="324" t="s">
        <v>103</v>
      </c>
      <c r="G169" s="327">
        <v>458500</v>
      </c>
      <c r="H169" s="324" t="s">
        <v>103</v>
      </c>
      <c r="I169" s="327">
        <v>458500</v>
      </c>
      <c r="J169" s="111"/>
      <c r="K169" s="96"/>
      <c r="L169" s="330" t="s">
        <v>159</v>
      </c>
      <c r="M169" s="333" t="s">
        <v>59</v>
      </c>
      <c r="N169" s="334"/>
      <c r="O169" s="336">
        <v>244044</v>
      </c>
      <c r="P169" s="319" t="s">
        <v>125</v>
      </c>
    </row>
    <row r="170" spans="1:16" ht="24" customHeight="1">
      <c r="A170" s="360"/>
      <c r="B170" s="97" t="s">
        <v>160</v>
      </c>
      <c r="C170" s="343"/>
      <c r="D170" s="343"/>
      <c r="E170" s="360"/>
      <c r="F170" s="325"/>
      <c r="G170" s="328"/>
      <c r="H170" s="325"/>
      <c r="I170" s="328"/>
      <c r="J170" s="98" t="s">
        <v>71</v>
      </c>
      <c r="K170" s="100" t="s">
        <v>347</v>
      </c>
      <c r="L170" s="331"/>
      <c r="M170" s="334"/>
      <c r="N170" s="334"/>
      <c r="O170" s="337"/>
      <c r="P170" s="320"/>
    </row>
    <row r="171" spans="1:16" ht="24" customHeight="1">
      <c r="A171" s="360"/>
      <c r="B171" s="97" t="s">
        <v>348</v>
      </c>
      <c r="C171" s="343"/>
      <c r="D171" s="343"/>
      <c r="E171" s="360"/>
      <c r="F171" s="325"/>
      <c r="G171" s="328"/>
      <c r="H171" s="325"/>
      <c r="I171" s="328"/>
      <c r="J171" s="98" t="s">
        <v>65</v>
      </c>
      <c r="K171" s="97" t="s">
        <v>346</v>
      </c>
      <c r="L171" s="331"/>
      <c r="M171" s="334"/>
      <c r="N171" s="334"/>
      <c r="O171" s="337"/>
      <c r="P171" s="320"/>
    </row>
    <row r="172" spans="1:16" ht="24" customHeight="1">
      <c r="A172" s="361"/>
      <c r="B172" s="112"/>
      <c r="C172" s="344"/>
      <c r="D172" s="344"/>
      <c r="E172" s="361"/>
      <c r="F172" s="326"/>
      <c r="G172" s="329"/>
      <c r="H172" s="326"/>
      <c r="I172" s="329"/>
      <c r="J172" s="113"/>
      <c r="K172" s="103"/>
      <c r="L172" s="331"/>
      <c r="M172" s="334"/>
      <c r="N172" s="335"/>
      <c r="O172" s="338"/>
      <c r="P172" s="321"/>
    </row>
    <row r="173" spans="1:16" ht="24" customHeight="1">
      <c r="A173" s="360">
        <v>38</v>
      </c>
      <c r="B173" s="94" t="s">
        <v>67</v>
      </c>
      <c r="C173" s="343">
        <v>350000</v>
      </c>
      <c r="D173" s="343">
        <v>348708</v>
      </c>
      <c r="E173" s="360" t="s">
        <v>56</v>
      </c>
      <c r="F173" s="324" t="s">
        <v>285</v>
      </c>
      <c r="G173" s="327">
        <v>341745</v>
      </c>
      <c r="H173" s="324" t="s">
        <v>285</v>
      </c>
      <c r="I173" s="328">
        <v>341745</v>
      </c>
      <c r="J173" s="139"/>
      <c r="K173" s="98"/>
      <c r="L173" s="330" t="s">
        <v>159</v>
      </c>
      <c r="M173" s="333" t="s">
        <v>59</v>
      </c>
      <c r="N173" s="333"/>
      <c r="O173" s="336">
        <v>244044</v>
      </c>
      <c r="P173" s="319" t="s">
        <v>125</v>
      </c>
    </row>
    <row r="174" spans="1:16" ht="24" customHeight="1">
      <c r="A174" s="360"/>
      <c r="B174" s="97" t="s">
        <v>160</v>
      </c>
      <c r="C174" s="343"/>
      <c r="D174" s="343"/>
      <c r="E174" s="360"/>
      <c r="F174" s="325"/>
      <c r="G174" s="328"/>
      <c r="H174" s="325"/>
      <c r="I174" s="328"/>
      <c r="J174" s="98" t="s">
        <v>71</v>
      </c>
      <c r="K174" s="100" t="s">
        <v>349</v>
      </c>
      <c r="L174" s="331"/>
      <c r="M174" s="334"/>
      <c r="N174" s="334"/>
      <c r="O174" s="337"/>
      <c r="P174" s="320"/>
    </row>
    <row r="175" spans="1:16" ht="24" customHeight="1">
      <c r="A175" s="360"/>
      <c r="B175" s="97" t="s">
        <v>350</v>
      </c>
      <c r="C175" s="343"/>
      <c r="D175" s="343"/>
      <c r="E175" s="360"/>
      <c r="F175" s="325"/>
      <c r="G175" s="328"/>
      <c r="H175" s="325"/>
      <c r="I175" s="328"/>
      <c r="J175" s="98" t="s">
        <v>65</v>
      </c>
      <c r="K175" s="97" t="s">
        <v>351</v>
      </c>
      <c r="L175" s="331"/>
      <c r="M175" s="334"/>
      <c r="N175" s="334"/>
      <c r="O175" s="337"/>
      <c r="P175" s="320"/>
    </row>
    <row r="176" spans="1:16" ht="24" customHeight="1">
      <c r="A176" s="361"/>
      <c r="B176" s="112"/>
      <c r="C176" s="344"/>
      <c r="D176" s="344"/>
      <c r="E176" s="361"/>
      <c r="F176" s="326"/>
      <c r="G176" s="329"/>
      <c r="H176" s="326"/>
      <c r="I176" s="329"/>
      <c r="J176" s="113"/>
      <c r="K176" s="103"/>
      <c r="L176" s="331"/>
      <c r="M176" s="335"/>
      <c r="N176" s="335"/>
      <c r="O176" s="338"/>
      <c r="P176" s="321"/>
    </row>
    <row r="177" spans="1:16" ht="24" customHeight="1">
      <c r="A177" s="360">
        <v>39</v>
      </c>
      <c r="B177" s="94" t="s">
        <v>67</v>
      </c>
      <c r="C177" s="399">
        <v>467200</v>
      </c>
      <c r="D177" s="343">
        <v>471716</v>
      </c>
      <c r="E177" s="360" t="s">
        <v>56</v>
      </c>
      <c r="F177" s="324" t="s">
        <v>278</v>
      </c>
      <c r="G177" s="327">
        <v>462181</v>
      </c>
      <c r="H177" s="324" t="s">
        <v>278</v>
      </c>
      <c r="I177" s="327">
        <v>462181</v>
      </c>
      <c r="J177" s="139"/>
      <c r="K177" s="98"/>
      <c r="L177" s="330" t="s">
        <v>159</v>
      </c>
      <c r="M177" s="333" t="s">
        <v>59</v>
      </c>
      <c r="N177" s="333"/>
      <c r="O177" s="336">
        <v>244044</v>
      </c>
      <c r="P177" s="319" t="s">
        <v>125</v>
      </c>
    </row>
    <row r="178" spans="1:16" ht="24" customHeight="1">
      <c r="A178" s="360"/>
      <c r="B178" s="97" t="s">
        <v>160</v>
      </c>
      <c r="C178" s="399"/>
      <c r="D178" s="343"/>
      <c r="E178" s="360"/>
      <c r="F178" s="325"/>
      <c r="G178" s="328"/>
      <c r="H178" s="325"/>
      <c r="I178" s="328"/>
      <c r="J178" s="98" t="s">
        <v>71</v>
      </c>
      <c r="K178" s="100" t="s">
        <v>352</v>
      </c>
      <c r="L178" s="331"/>
      <c r="M178" s="334"/>
      <c r="N178" s="334"/>
      <c r="O178" s="337"/>
      <c r="P178" s="320"/>
    </row>
    <row r="179" spans="1:16" ht="24" customHeight="1">
      <c r="A179" s="360"/>
      <c r="B179" s="97" t="s">
        <v>353</v>
      </c>
      <c r="C179" s="399"/>
      <c r="D179" s="343"/>
      <c r="E179" s="360"/>
      <c r="F179" s="325"/>
      <c r="G179" s="328"/>
      <c r="H179" s="325"/>
      <c r="I179" s="328"/>
      <c r="J179" s="98" t="s">
        <v>65</v>
      </c>
      <c r="K179" s="97" t="s">
        <v>354</v>
      </c>
      <c r="L179" s="331"/>
      <c r="M179" s="334"/>
      <c r="N179" s="334"/>
      <c r="O179" s="337"/>
      <c r="P179" s="320"/>
    </row>
    <row r="180" spans="1:16" ht="24" customHeight="1">
      <c r="A180" s="361"/>
      <c r="B180" s="112"/>
      <c r="C180" s="400"/>
      <c r="D180" s="344"/>
      <c r="E180" s="361"/>
      <c r="F180" s="326"/>
      <c r="G180" s="329"/>
      <c r="H180" s="326"/>
      <c r="I180" s="329"/>
      <c r="J180" s="113"/>
      <c r="K180" s="103"/>
      <c r="L180" s="332"/>
      <c r="M180" s="335"/>
      <c r="N180" s="335"/>
      <c r="O180" s="338"/>
      <c r="P180" s="321"/>
    </row>
    <row r="181" spans="1:16" ht="24" customHeight="1">
      <c r="A181" s="364">
        <v>40</v>
      </c>
      <c r="B181" s="94" t="s">
        <v>67</v>
      </c>
      <c r="C181" s="384">
        <v>4672000</v>
      </c>
      <c r="D181" s="384">
        <v>4896723</v>
      </c>
      <c r="E181" s="364" t="s">
        <v>186</v>
      </c>
      <c r="F181" s="88" t="s">
        <v>200</v>
      </c>
      <c r="G181" s="89">
        <v>2788000</v>
      </c>
      <c r="H181" s="365" t="s">
        <v>200</v>
      </c>
      <c r="I181" s="391">
        <v>2787639</v>
      </c>
      <c r="J181" s="88"/>
      <c r="K181" s="88"/>
      <c r="L181" s="330" t="s">
        <v>159</v>
      </c>
      <c r="M181" s="333" t="s">
        <v>59</v>
      </c>
      <c r="N181" s="333"/>
      <c r="O181" s="336">
        <v>244044</v>
      </c>
      <c r="P181" s="396" t="s">
        <v>125</v>
      </c>
    </row>
    <row r="182" spans="1:16" ht="24" customHeight="1">
      <c r="A182" s="360"/>
      <c r="B182" s="97" t="s">
        <v>160</v>
      </c>
      <c r="C182" s="385"/>
      <c r="D182" s="385"/>
      <c r="E182" s="360"/>
      <c r="F182" s="98" t="s">
        <v>327</v>
      </c>
      <c r="G182" s="99">
        <v>2940000</v>
      </c>
      <c r="H182" s="362"/>
      <c r="I182" s="392"/>
      <c r="J182" s="148"/>
      <c r="K182" s="148"/>
      <c r="L182" s="331"/>
      <c r="M182" s="334"/>
      <c r="N182" s="334"/>
      <c r="O182" s="337"/>
      <c r="P182" s="397"/>
    </row>
    <row r="183" spans="1:16" ht="24" customHeight="1">
      <c r="A183" s="360"/>
      <c r="B183" s="97" t="s">
        <v>355</v>
      </c>
      <c r="C183" s="385"/>
      <c r="D183" s="385"/>
      <c r="E183" s="360"/>
      <c r="F183" s="348" t="s">
        <v>158</v>
      </c>
      <c r="G183" s="350">
        <v>2980000</v>
      </c>
      <c r="H183" s="362"/>
      <c r="I183" s="392"/>
      <c r="J183" s="98"/>
      <c r="K183" s="100"/>
      <c r="L183" s="331"/>
      <c r="M183" s="334"/>
      <c r="N183" s="334"/>
      <c r="O183" s="337"/>
      <c r="P183" s="397"/>
    </row>
    <row r="184" spans="1:16" ht="24" customHeight="1">
      <c r="A184" s="360"/>
      <c r="B184" s="97"/>
      <c r="C184" s="385"/>
      <c r="D184" s="385"/>
      <c r="E184" s="360"/>
      <c r="F184" s="348"/>
      <c r="G184" s="350"/>
      <c r="H184" s="362"/>
      <c r="I184" s="392"/>
      <c r="J184" s="98"/>
      <c r="K184" s="97"/>
      <c r="L184" s="331"/>
      <c r="M184" s="334"/>
      <c r="N184" s="334"/>
      <c r="O184" s="337"/>
      <c r="P184" s="397"/>
    </row>
    <row r="185" spans="1:16" ht="24" customHeight="1">
      <c r="A185" s="360"/>
      <c r="B185" s="97"/>
      <c r="C185" s="385"/>
      <c r="D185" s="385"/>
      <c r="E185" s="360"/>
      <c r="F185" s="107" t="s">
        <v>68</v>
      </c>
      <c r="G185" s="99">
        <v>3128000</v>
      </c>
      <c r="H185" s="362"/>
      <c r="I185" s="392"/>
      <c r="J185" s="98"/>
      <c r="K185" s="97"/>
      <c r="L185" s="331"/>
      <c r="M185" s="334"/>
      <c r="N185" s="334"/>
      <c r="O185" s="337"/>
      <c r="P185" s="397"/>
    </row>
    <row r="186" spans="1:16" ht="24" customHeight="1">
      <c r="A186" s="360"/>
      <c r="B186" s="97"/>
      <c r="C186" s="385"/>
      <c r="D186" s="385"/>
      <c r="E186" s="360"/>
      <c r="F186" s="107" t="s">
        <v>356</v>
      </c>
      <c r="G186" s="99">
        <v>3180000</v>
      </c>
      <c r="H186" s="362"/>
      <c r="I186" s="392"/>
      <c r="J186" s="98" t="s">
        <v>61</v>
      </c>
      <c r="K186" s="100" t="s">
        <v>357</v>
      </c>
      <c r="L186" s="331"/>
      <c r="M186" s="334"/>
      <c r="N186" s="334"/>
      <c r="O186" s="337"/>
      <c r="P186" s="397"/>
    </row>
    <row r="187" spans="1:16" ht="24" customHeight="1">
      <c r="A187" s="360"/>
      <c r="B187" s="97"/>
      <c r="C187" s="385"/>
      <c r="D187" s="385"/>
      <c r="E187" s="360"/>
      <c r="F187" s="107" t="s">
        <v>278</v>
      </c>
      <c r="G187" s="99">
        <v>3207300</v>
      </c>
      <c r="H187" s="362"/>
      <c r="I187" s="392"/>
      <c r="J187" s="98" t="s">
        <v>65</v>
      </c>
      <c r="K187" s="97" t="s">
        <v>358</v>
      </c>
      <c r="L187" s="331"/>
      <c r="M187" s="334"/>
      <c r="N187" s="334"/>
      <c r="O187" s="337"/>
      <c r="P187" s="397"/>
    </row>
    <row r="188" spans="1:16" ht="24" customHeight="1">
      <c r="A188" s="360"/>
      <c r="B188" s="97"/>
      <c r="C188" s="385"/>
      <c r="D188" s="385"/>
      <c r="E188" s="360"/>
      <c r="F188" s="107" t="s">
        <v>325</v>
      </c>
      <c r="G188" s="99">
        <v>3427000</v>
      </c>
      <c r="H188" s="362"/>
      <c r="I188" s="392"/>
      <c r="J188" s="98"/>
      <c r="K188" s="97"/>
      <c r="L188" s="331"/>
      <c r="M188" s="334"/>
      <c r="N188" s="334"/>
      <c r="O188" s="337"/>
      <c r="P188" s="397"/>
    </row>
    <row r="189" spans="1:16" ht="24" customHeight="1">
      <c r="A189" s="360"/>
      <c r="B189" s="97"/>
      <c r="C189" s="385"/>
      <c r="D189" s="385"/>
      <c r="E189" s="360"/>
      <c r="F189" s="107" t="s">
        <v>252</v>
      </c>
      <c r="G189" s="99">
        <v>3490000</v>
      </c>
      <c r="H189" s="362"/>
      <c r="I189" s="392"/>
      <c r="J189" s="98"/>
      <c r="K189" s="97"/>
      <c r="L189" s="331"/>
      <c r="M189" s="334"/>
      <c r="N189" s="334"/>
      <c r="O189" s="337"/>
      <c r="P189" s="397"/>
    </row>
    <row r="190" spans="1:16" ht="24" customHeight="1">
      <c r="A190" s="360"/>
      <c r="B190" s="97"/>
      <c r="C190" s="385"/>
      <c r="D190" s="385"/>
      <c r="E190" s="360"/>
      <c r="F190" s="98" t="s">
        <v>359</v>
      </c>
      <c r="G190" s="99">
        <v>3678910</v>
      </c>
      <c r="H190" s="362"/>
      <c r="I190" s="392"/>
      <c r="J190" s="98"/>
      <c r="K190" s="97"/>
      <c r="L190" s="331"/>
      <c r="M190" s="334"/>
      <c r="N190" s="334"/>
      <c r="O190" s="337"/>
      <c r="P190" s="397"/>
    </row>
    <row r="191" spans="1:16" ht="24" customHeight="1">
      <c r="A191" s="361"/>
      <c r="B191" s="102"/>
      <c r="C191" s="386"/>
      <c r="D191" s="386"/>
      <c r="E191" s="361"/>
      <c r="F191" s="103" t="s">
        <v>331</v>
      </c>
      <c r="G191" s="135">
        <v>3976000</v>
      </c>
      <c r="H191" s="363"/>
      <c r="I191" s="393"/>
      <c r="J191" s="134"/>
      <c r="K191" s="134"/>
      <c r="L191" s="332"/>
      <c r="M191" s="335"/>
      <c r="N191" s="335"/>
      <c r="O191" s="338"/>
      <c r="P191" s="398"/>
    </row>
    <row r="192" spans="1:16" ht="34.5" customHeight="1">
      <c r="A192" s="360">
        <v>41</v>
      </c>
      <c r="B192" s="94" t="s">
        <v>67</v>
      </c>
      <c r="C192" s="343">
        <v>9345000</v>
      </c>
      <c r="D192" s="344">
        <v>6449257</v>
      </c>
      <c r="E192" s="340" t="s">
        <v>186</v>
      </c>
      <c r="F192" s="105" t="s">
        <v>200</v>
      </c>
      <c r="G192" s="89">
        <v>3588000</v>
      </c>
      <c r="H192" s="325" t="s">
        <v>200</v>
      </c>
      <c r="I192" s="328">
        <v>3585717</v>
      </c>
      <c r="J192" s="98"/>
      <c r="K192" s="98"/>
      <c r="L192" s="330" t="s">
        <v>159</v>
      </c>
      <c r="M192" s="333" t="s">
        <v>59</v>
      </c>
      <c r="N192" s="333"/>
      <c r="O192" s="336">
        <v>244044</v>
      </c>
      <c r="P192" s="319" t="s">
        <v>125</v>
      </c>
    </row>
    <row r="193" spans="1:16" ht="24" customHeight="1">
      <c r="A193" s="360"/>
      <c r="B193" s="97" t="s">
        <v>160</v>
      </c>
      <c r="C193" s="343"/>
      <c r="D193" s="344"/>
      <c r="E193" s="340"/>
      <c r="F193" s="107" t="s">
        <v>252</v>
      </c>
      <c r="G193" s="99">
        <v>4639000</v>
      </c>
      <c r="H193" s="325"/>
      <c r="I193" s="328"/>
      <c r="J193" s="98" t="s">
        <v>61</v>
      </c>
      <c r="K193" s="100" t="s">
        <v>360</v>
      </c>
      <c r="L193" s="331"/>
      <c r="M193" s="334"/>
      <c r="N193" s="334"/>
      <c r="O193" s="337"/>
      <c r="P193" s="320"/>
    </row>
    <row r="194" spans="1:16" ht="36.75" customHeight="1">
      <c r="A194" s="360"/>
      <c r="B194" s="97" t="s">
        <v>361</v>
      </c>
      <c r="C194" s="343"/>
      <c r="D194" s="395"/>
      <c r="E194" s="340"/>
      <c r="F194" s="107" t="s">
        <v>278</v>
      </c>
      <c r="G194" s="99">
        <v>4707000</v>
      </c>
      <c r="H194" s="325"/>
      <c r="I194" s="328"/>
      <c r="J194" s="98" t="s">
        <v>65</v>
      </c>
      <c r="K194" s="97" t="s">
        <v>362</v>
      </c>
      <c r="L194" s="331"/>
      <c r="M194" s="334"/>
      <c r="N194" s="334"/>
      <c r="O194" s="337"/>
      <c r="P194" s="320"/>
    </row>
    <row r="195" spans="1:16" ht="24" customHeight="1">
      <c r="A195" s="341"/>
      <c r="B195" s="102"/>
      <c r="C195" s="354"/>
      <c r="D195" s="395"/>
      <c r="E195" s="341"/>
      <c r="F195" s="147" t="s">
        <v>285</v>
      </c>
      <c r="G195" s="135">
        <v>5000000</v>
      </c>
      <c r="H195" s="326"/>
      <c r="I195" s="329"/>
      <c r="J195" s="103"/>
      <c r="K195" s="102"/>
      <c r="L195" s="332"/>
      <c r="M195" s="335"/>
      <c r="N195" s="335"/>
      <c r="O195" s="338"/>
      <c r="P195" s="321"/>
    </row>
    <row r="196" spans="1:16" ht="36" customHeight="1">
      <c r="A196" s="364">
        <v>42</v>
      </c>
      <c r="B196" s="94" t="s">
        <v>363</v>
      </c>
      <c r="C196" s="342">
        <v>59630</v>
      </c>
      <c r="D196" s="342">
        <v>63804.1</v>
      </c>
      <c r="E196" s="364" t="s">
        <v>56</v>
      </c>
      <c r="F196" s="105" t="s">
        <v>364</v>
      </c>
      <c r="G196" s="89">
        <v>63804.1</v>
      </c>
      <c r="H196" s="324" t="s">
        <v>364</v>
      </c>
      <c r="I196" s="327">
        <v>63804.1</v>
      </c>
      <c r="J196" s="111"/>
      <c r="K196" s="96"/>
      <c r="L196" s="330" t="s">
        <v>262</v>
      </c>
      <c r="M196" s="333" t="s">
        <v>59</v>
      </c>
      <c r="N196" s="333"/>
      <c r="O196" s="378">
        <v>244075</v>
      </c>
      <c r="P196" s="381" t="s">
        <v>125</v>
      </c>
    </row>
    <row r="197" spans="1:16" ht="24" customHeight="1">
      <c r="A197" s="360"/>
      <c r="B197" s="97" t="s">
        <v>365</v>
      </c>
      <c r="C197" s="343"/>
      <c r="D197" s="343"/>
      <c r="E197" s="360"/>
      <c r="F197" s="348" t="s">
        <v>366</v>
      </c>
      <c r="G197" s="350" t="s">
        <v>367</v>
      </c>
      <c r="H197" s="325"/>
      <c r="I197" s="328"/>
      <c r="J197" s="98" t="s">
        <v>61</v>
      </c>
      <c r="K197" s="100" t="s">
        <v>368</v>
      </c>
      <c r="L197" s="331"/>
      <c r="M197" s="334"/>
      <c r="N197" s="334"/>
      <c r="O197" s="379"/>
      <c r="P197" s="382"/>
    </row>
    <row r="198" spans="1:16" ht="24" customHeight="1">
      <c r="A198" s="360"/>
      <c r="B198" s="97"/>
      <c r="C198" s="343"/>
      <c r="D198" s="343"/>
      <c r="E198" s="360"/>
      <c r="F198" s="348"/>
      <c r="G198" s="350"/>
      <c r="H198" s="325"/>
      <c r="I198" s="328"/>
      <c r="J198" s="98" t="s">
        <v>65</v>
      </c>
      <c r="K198" s="97" t="s">
        <v>369</v>
      </c>
      <c r="L198" s="331"/>
      <c r="M198" s="334"/>
      <c r="N198" s="334"/>
      <c r="O198" s="379"/>
      <c r="P198" s="382"/>
    </row>
    <row r="199" spans="1:16" ht="24" customHeight="1">
      <c r="A199" s="360"/>
      <c r="B199" s="97"/>
      <c r="C199" s="343"/>
      <c r="D199" s="343"/>
      <c r="E199" s="360"/>
      <c r="F199" s="348"/>
      <c r="G199" s="350"/>
      <c r="H199" s="325"/>
      <c r="I199" s="328"/>
      <c r="J199" s="98"/>
      <c r="K199" s="97"/>
      <c r="L199" s="331"/>
      <c r="M199" s="334"/>
      <c r="N199" s="334"/>
      <c r="O199" s="379"/>
      <c r="P199" s="382"/>
    </row>
    <row r="200" spans="1:16" ht="24" customHeight="1">
      <c r="A200" s="360"/>
      <c r="B200" s="138"/>
      <c r="C200" s="343"/>
      <c r="D200" s="343"/>
      <c r="E200" s="360"/>
      <c r="F200" s="107" t="s">
        <v>370</v>
      </c>
      <c r="G200" s="99">
        <v>72760</v>
      </c>
      <c r="H200" s="325"/>
      <c r="I200" s="328"/>
      <c r="J200" s="139"/>
      <c r="K200" s="98"/>
      <c r="L200" s="332"/>
      <c r="M200" s="335"/>
      <c r="N200" s="335"/>
      <c r="O200" s="380"/>
      <c r="P200" s="383"/>
    </row>
    <row r="201" spans="1:16" ht="24" customHeight="1">
      <c r="A201" s="364">
        <v>43</v>
      </c>
      <c r="B201" s="94" t="s">
        <v>371</v>
      </c>
      <c r="C201" s="342">
        <v>2920</v>
      </c>
      <c r="D201" s="342">
        <v>3124.4</v>
      </c>
      <c r="E201" s="364" t="s">
        <v>56</v>
      </c>
      <c r="F201" s="105" t="s">
        <v>76</v>
      </c>
      <c r="G201" s="89">
        <v>3124.4</v>
      </c>
      <c r="H201" s="324" t="s">
        <v>76</v>
      </c>
      <c r="I201" s="327">
        <v>3124.4</v>
      </c>
      <c r="J201" s="111"/>
      <c r="K201" s="96"/>
      <c r="L201" s="330" t="s">
        <v>90</v>
      </c>
      <c r="M201" s="333" t="s">
        <v>59</v>
      </c>
      <c r="N201" s="333"/>
      <c r="O201" s="336">
        <v>244075</v>
      </c>
      <c r="P201" s="319" t="s">
        <v>125</v>
      </c>
    </row>
    <row r="202" spans="1:16" ht="24" customHeight="1">
      <c r="A202" s="360"/>
      <c r="B202" s="97" t="s">
        <v>372</v>
      </c>
      <c r="C202" s="343"/>
      <c r="D202" s="343"/>
      <c r="E202" s="360"/>
      <c r="F202" s="348" t="s">
        <v>82</v>
      </c>
      <c r="G202" s="350">
        <v>3638</v>
      </c>
      <c r="H202" s="325"/>
      <c r="I202" s="328"/>
      <c r="J202" s="98" t="s">
        <v>61</v>
      </c>
      <c r="K202" s="100" t="s">
        <v>373</v>
      </c>
      <c r="L202" s="331"/>
      <c r="M202" s="334"/>
      <c r="N202" s="334"/>
      <c r="O202" s="337"/>
      <c r="P202" s="320"/>
    </row>
    <row r="203" spans="1:16" ht="24" customHeight="1">
      <c r="A203" s="360"/>
      <c r="B203" s="97"/>
      <c r="C203" s="343"/>
      <c r="D203" s="343"/>
      <c r="E203" s="360"/>
      <c r="F203" s="348"/>
      <c r="G203" s="350"/>
      <c r="H203" s="325"/>
      <c r="I203" s="328"/>
      <c r="J203" s="98" t="s">
        <v>65</v>
      </c>
      <c r="K203" s="97" t="s">
        <v>369</v>
      </c>
      <c r="L203" s="331"/>
      <c r="M203" s="334"/>
      <c r="N203" s="334"/>
      <c r="O203" s="337"/>
      <c r="P203" s="320"/>
    </row>
    <row r="204" spans="1:16" ht="24" customHeight="1">
      <c r="A204" s="361"/>
      <c r="B204" s="112"/>
      <c r="C204" s="344"/>
      <c r="D204" s="344"/>
      <c r="E204" s="361"/>
      <c r="F204" s="147" t="s">
        <v>79</v>
      </c>
      <c r="G204" s="135">
        <v>3809.2</v>
      </c>
      <c r="H204" s="326"/>
      <c r="I204" s="329"/>
      <c r="J204" s="113"/>
      <c r="K204" s="103"/>
      <c r="L204" s="332"/>
      <c r="M204" s="335"/>
      <c r="N204" s="335"/>
      <c r="O204" s="338"/>
      <c r="P204" s="321"/>
    </row>
    <row r="205" spans="1:16" ht="24" customHeight="1">
      <c r="A205" s="364">
        <v>44</v>
      </c>
      <c r="B205" s="136" t="s">
        <v>374</v>
      </c>
      <c r="C205" s="342">
        <v>4205</v>
      </c>
      <c r="D205" s="342">
        <v>4499.3500000000004</v>
      </c>
      <c r="E205" s="364" t="s">
        <v>56</v>
      </c>
      <c r="F205" s="105" t="s">
        <v>261</v>
      </c>
      <c r="G205" s="89">
        <v>4499.3500000000004</v>
      </c>
      <c r="H205" s="324" t="s">
        <v>261</v>
      </c>
      <c r="I205" s="327">
        <v>4499.3500000000004</v>
      </c>
      <c r="J205" s="111"/>
      <c r="K205" s="96"/>
      <c r="L205" s="331" t="s">
        <v>375</v>
      </c>
      <c r="M205" s="334" t="s">
        <v>59</v>
      </c>
      <c r="N205" s="334"/>
      <c r="O205" s="336">
        <v>244075</v>
      </c>
      <c r="P205" s="319" t="s">
        <v>125</v>
      </c>
    </row>
    <row r="206" spans="1:16" ht="24" customHeight="1">
      <c r="A206" s="360"/>
      <c r="B206" s="138" t="s">
        <v>376</v>
      </c>
      <c r="C206" s="343"/>
      <c r="D206" s="343"/>
      <c r="E206" s="360"/>
      <c r="F206" s="348" t="s">
        <v>267</v>
      </c>
      <c r="G206" s="350">
        <v>4922</v>
      </c>
      <c r="H206" s="325"/>
      <c r="I206" s="328"/>
      <c r="J206" s="98" t="s">
        <v>61</v>
      </c>
      <c r="K206" s="100" t="s">
        <v>377</v>
      </c>
      <c r="L206" s="331"/>
      <c r="M206" s="334"/>
      <c r="N206" s="334"/>
      <c r="O206" s="337"/>
      <c r="P206" s="320"/>
    </row>
    <row r="207" spans="1:16" ht="24" customHeight="1">
      <c r="A207" s="360"/>
      <c r="B207" s="138"/>
      <c r="C207" s="343"/>
      <c r="D207" s="343"/>
      <c r="E207" s="360"/>
      <c r="F207" s="348"/>
      <c r="G207" s="350"/>
      <c r="H207" s="325"/>
      <c r="I207" s="328"/>
      <c r="J207" s="98" t="s">
        <v>65</v>
      </c>
      <c r="K207" s="97" t="s">
        <v>378</v>
      </c>
      <c r="L207" s="331"/>
      <c r="M207" s="334"/>
      <c r="N207" s="334"/>
      <c r="O207" s="337"/>
      <c r="P207" s="320"/>
    </row>
    <row r="208" spans="1:16" ht="42" customHeight="1">
      <c r="A208" s="361"/>
      <c r="B208" s="112"/>
      <c r="C208" s="344"/>
      <c r="D208" s="344"/>
      <c r="E208" s="361"/>
      <c r="F208" s="147" t="s">
        <v>264</v>
      </c>
      <c r="G208" s="135">
        <v>5136</v>
      </c>
      <c r="H208" s="326"/>
      <c r="I208" s="329"/>
      <c r="J208" s="113"/>
      <c r="K208" s="103"/>
      <c r="L208" s="332"/>
      <c r="M208" s="335"/>
      <c r="N208" s="335"/>
      <c r="O208" s="338"/>
      <c r="P208" s="321"/>
    </row>
    <row r="209" spans="1:16" ht="24" customHeight="1">
      <c r="A209" s="364">
        <v>45</v>
      </c>
      <c r="B209" s="94" t="s">
        <v>67</v>
      </c>
      <c r="C209" s="384">
        <v>9345000</v>
      </c>
      <c r="D209" s="384">
        <v>6334615</v>
      </c>
      <c r="E209" s="364" t="s">
        <v>186</v>
      </c>
      <c r="F209" s="88" t="s">
        <v>200</v>
      </c>
      <c r="G209" s="89">
        <v>3578000</v>
      </c>
      <c r="H209" s="388" t="s">
        <v>200</v>
      </c>
      <c r="I209" s="391">
        <v>3576105</v>
      </c>
      <c r="J209" s="88"/>
      <c r="K209" s="88"/>
      <c r="L209" s="330" t="s">
        <v>159</v>
      </c>
      <c r="M209" s="333" t="s">
        <v>59</v>
      </c>
      <c r="N209" s="333"/>
      <c r="O209" s="378">
        <v>244075</v>
      </c>
      <c r="P209" s="319" t="s">
        <v>125</v>
      </c>
    </row>
    <row r="210" spans="1:16" ht="24" customHeight="1">
      <c r="A210" s="360"/>
      <c r="B210" s="97" t="s">
        <v>160</v>
      </c>
      <c r="C210" s="385"/>
      <c r="D210" s="385"/>
      <c r="E210" s="360"/>
      <c r="F210" s="98" t="s">
        <v>328</v>
      </c>
      <c r="G210" s="99">
        <v>4390000</v>
      </c>
      <c r="H210" s="389"/>
      <c r="I210" s="392"/>
      <c r="J210" s="148"/>
      <c r="K210" s="148"/>
      <c r="L210" s="331"/>
      <c r="M210" s="334"/>
      <c r="N210" s="334"/>
      <c r="O210" s="379"/>
      <c r="P210" s="320"/>
    </row>
    <row r="211" spans="1:16" ht="24" customHeight="1">
      <c r="A211" s="360"/>
      <c r="B211" s="97" t="s">
        <v>379</v>
      </c>
      <c r="C211" s="385"/>
      <c r="D211" s="385"/>
      <c r="E211" s="360"/>
      <c r="F211" s="348" t="s">
        <v>158</v>
      </c>
      <c r="G211" s="350">
        <v>4800000</v>
      </c>
      <c r="H211" s="389"/>
      <c r="I211" s="392"/>
      <c r="J211" s="98" t="s">
        <v>61</v>
      </c>
      <c r="K211" s="100" t="s">
        <v>380</v>
      </c>
      <c r="L211" s="331"/>
      <c r="M211" s="334"/>
      <c r="N211" s="334"/>
      <c r="O211" s="379"/>
      <c r="P211" s="320"/>
    </row>
    <row r="212" spans="1:16" ht="24" customHeight="1">
      <c r="A212" s="360"/>
      <c r="B212" s="97"/>
      <c r="C212" s="385"/>
      <c r="D212" s="385"/>
      <c r="E212" s="360"/>
      <c r="F212" s="348"/>
      <c r="G212" s="350"/>
      <c r="H212" s="389"/>
      <c r="I212" s="392"/>
      <c r="J212" s="98" t="s">
        <v>65</v>
      </c>
      <c r="K212" s="97" t="s">
        <v>381</v>
      </c>
      <c r="L212" s="331"/>
      <c r="M212" s="334"/>
      <c r="N212" s="334"/>
      <c r="O212" s="379"/>
      <c r="P212" s="320"/>
    </row>
    <row r="213" spans="1:16" ht="24" customHeight="1">
      <c r="A213" s="360"/>
      <c r="B213" s="97"/>
      <c r="C213" s="385"/>
      <c r="D213" s="385"/>
      <c r="E213" s="360"/>
      <c r="F213" s="348" t="s">
        <v>278</v>
      </c>
      <c r="G213" s="350">
        <v>5115000</v>
      </c>
      <c r="H213" s="389"/>
      <c r="I213" s="392"/>
      <c r="J213" s="98"/>
      <c r="K213" s="97"/>
      <c r="L213" s="331"/>
      <c r="M213" s="334"/>
      <c r="N213" s="334"/>
      <c r="O213" s="379"/>
      <c r="P213" s="320"/>
    </row>
    <row r="214" spans="1:16" ht="24" customHeight="1">
      <c r="A214" s="361"/>
      <c r="B214" s="102"/>
      <c r="C214" s="386"/>
      <c r="D214" s="386"/>
      <c r="E214" s="361"/>
      <c r="F214" s="349"/>
      <c r="G214" s="351"/>
      <c r="H214" s="390"/>
      <c r="I214" s="393"/>
      <c r="J214" s="134"/>
      <c r="K214" s="134"/>
      <c r="L214" s="332"/>
      <c r="M214" s="335"/>
      <c r="N214" s="335"/>
      <c r="O214" s="380"/>
      <c r="P214" s="321"/>
    </row>
    <row r="215" spans="1:16" ht="24" customHeight="1">
      <c r="A215" s="360">
        <v>46</v>
      </c>
      <c r="B215" s="94" t="s">
        <v>67</v>
      </c>
      <c r="C215" s="343">
        <v>12500000</v>
      </c>
      <c r="D215" s="344">
        <v>11402855</v>
      </c>
      <c r="E215" s="340" t="s">
        <v>186</v>
      </c>
      <c r="F215" s="137" t="s">
        <v>252</v>
      </c>
      <c r="G215" s="89">
        <v>8195000</v>
      </c>
      <c r="H215" s="325" t="s">
        <v>252</v>
      </c>
      <c r="I215" s="328">
        <v>8194966</v>
      </c>
      <c r="J215" s="98"/>
      <c r="K215" s="98"/>
      <c r="L215" s="330" t="s">
        <v>159</v>
      </c>
      <c r="M215" s="333" t="s">
        <v>59</v>
      </c>
      <c r="N215" s="334"/>
      <c r="O215" s="378">
        <v>244075</v>
      </c>
      <c r="P215" s="381" t="s">
        <v>125</v>
      </c>
    </row>
    <row r="216" spans="1:16" ht="24" customHeight="1">
      <c r="A216" s="360"/>
      <c r="B216" s="97" t="s">
        <v>160</v>
      </c>
      <c r="C216" s="343"/>
      <c r="D216" s="344"/>
      <c r="E216" s="340"/>
      <c r="F216" s="348" t="s">
        <v>158</v>
      </c>
      <c r="G216" s="350">
        <v>8488000</v>
      </c>
      <c r="H216" s="325"/>
      <c r="I216" s="328"/>
      <c r="J216" s="98" t="s">
        <v>61</v>
      </c>
      <c r="K216" s="100" t="s">
        <v>382</v>
      </c>
      <c r="L216" s="331"/>
      <c r="M216" s="334"/>
      <c r="N216" s="334"/>
      <c r="O216" s="379"/>
      <c r="P216" s="382"/>
    </row>
    <row r="217" spans="1:16" ht="24" customHeight="1">
      <c r="A217" s="360"/>
      <c r="B217" s="97" t="s">
        <v>383</v>
      </c>
      <c r="C217" s="343"/>
      <c r="D217" s="395"/>
      <c r="E217" s="340"/>
      <c r="F217" s="348"/>
      <c r="G217" s="350"/>
      <c r="H217" s="325"/>
      <c r="I217" s="328"/>
      <c r="J217" s="98" t="s">
        <v>65</v>
      </c>
      <c r="K217" s="97" t="s">
        <v>384</v>
      </c>
      <c r="L217" s="331"/>
      <c r="M217" s="334"/>
      <c r="N217" s="334"/>
      <c r="O217" s="379"/>
      <c r="P217" s="382"/>
    </row>
    <row r="218" spans="1:16" ht="24" customHeight="1">
      <c r="A218" s="340"/>
      <c r="B218" s="97"/>
      <c r="C218" s="353"/>
      <c r="D218" s="395"/>
      <c r="E218" s="340"/>
      <c r="F218" s="107" t="s">
        <v>285</v>
      </c>
      <c r="G218" s="99">
        <v>9100000</v>
      </c>
      <c r="H218" s="325"/>
      <c r="I218" s="328"/>
      <c r="J218" s="98"/>
      <c r="K218" s="97"/>
      <c r="L218" s="331"/>
      <c r="M218" s="334"/>
      <c r="N218" s="334"/>
      <c r="O218" s="379"/>
      <c r="P218" s="382"/>
    </row>
    <row r="219" spans="1:16" ht="24" customHeight="1">
      <c r="A219" s="341"/>
      <c r="B219" s="102"/>
      <c r="C219" s="354"/>
      <c r="D219" s="395"/>
      <c r="E219" s="341"/>
      <c r="F219" s="147" t="s">
        <v>278</v>
      </c>
      <c r="G219" s="135">
        <v>9585000</v>
      </c>
      <c r="H219" s="326"/>
      <c r="I219" s="329"/>
      <c r="J219" s="103"/>
      <c r="K219" s="102"/>
      <c r="L219" s="332"/>
      <c r="M219" s="335"/>
      <c r="N219" s="335"/>
      <c r="O219" s="380"/>
      <c r="P219" s="383"/>
    </row>
    <row r="220" spans="1:16" ht="24" customHeight="1">
      <c r="A220" s="364">
        <v>47</v>
      </c>
      <c r="B220" s="94" t="s">
        <v>385</v>
      </c>
      <c r="C220" s="384">
        <v>745000</v>
      </c>
      <c r="D220" s="384">
        <v>797112.02</v>
      </c>
      <c r="E220" s="364" t="s">
        <v>186</v>
      </c>
      <c r="F220" s="324" t="s">
        <v>386</v>
      </c>
      <c r="G220" s="327">
        <v>502180</v>
      </c>
      <c r="H220" s="365" t="s">
        <v>192</v>
      </c>
      <c r="I220" s="391">
        <v>502144.58</v>
      </c>
      <c r="J220" s="88"/>
      <c r="K220" s="88"/>
      <c r="L220" s="330" t="s">
        <v>193</v>
      </c>
      <c r="M220" s="333" t="s">
        <v>59</v>
      </c>
      <c r="N220" s="333"/>
      <c r="O220" s="336">
        <v>244105</v>
      </c>
      <c r="P220" s="319" t="s">
        <v>125</v>
      </c>
    </row>
    <row r="221" spans="1:16" ht="24" customHeight="1">
      <c r="A221" s="360"/>
      <c r="B221" s="97" t="s">
        <v>166</v>
      </c>
      <c r="C221" s="385"/>
      <c r="D221" s="385"/>
      <c r="E221" s="360"/>
      <c r="F221" s="325"/>
      <c r="G221" s="328"/>
      <c r="H221" s="362"/>
      <c r="I221" s="392"/>
      <c r="J221" s="98" t="s">
        <v>61</v>
      </c>
      <c r="K221" s="100" t="s">
        <v>387</v>
      </c>
      <c r="L221" s="331"/>
      <c r="M221" s="334"/>
      <c r="N221" s="334"/>
      <c r="O221" s="337"/>
      <c r="P221" s="320"/>
    </row>
    <row r="222" spans="1:16" ht="24" customHeight="1">
      <c r="A222" s="360"/>
      <c r="B222" s="97" t="s">
        <v>388</v>
      </c>
      <c r="C222" s="385"/>
      <c r="D222" s="385"/>
      <c r="E222" s="360"/>
      <c r="F222" s="107" t="s">
        <v>389</v>
      </c>
      <c r="G222" s="99">
        <v>573920.65</v>
      </c>
      <c r="H222" s="362"/>
      <c r="I222" s="392"/>
      <c r="J222" s="98" t="s">
        <v>65</v>
      </c>
      <c r="K222" s="97" t="s">
        <v>390</v>
      </c>
      <c r="L222" s="331"/>
      <c r="M222" s="334"/>
      <c r="N222" s="334"/>
      <c r="O222" s="337"/>
      <c r="P222" s="320"/>
    </row>
    <row r="223" spans="1:16" ht="24" customHeight="1">
      <c r="A223" s="361"/>
      <c r="B223" s="102"/>
      <c r="C223" s="386"/>
      <c r="D223" s="386"/>
      <c r="E223" s="361"/>
      <c r="F223" s="147" t="s">
        <v>391</v>
      </c>
      <c r="G223" s="135">
        <v>685000</v>
      </c>
      <c r="H223" s="363"/>
      <c r="I223" s="393"/>
      <c r="J223" s="103"/>
      <c r="K223" s="102"/>
      <c r="L223" s="332"/>
      <c r="M223" s="335"/>
      <c r="N223" s="335"/>
      <c r="O223" s="338"/>
      <c r="P223" s="321"/>
    </row>
    <row r="224" spans="1:16" ht="24" customHeight="1">
      <c r="A224" s="364">
        <v>48</v>
      </c>
      <c r="B224" s="94" t="s">
        <v>67</v>
      </c>
      <c r="C224" s="384">
        <v>12500000</v>
      </c>
      <c r="D224" s="384">
        <v>13287451</v>
      </c>
      <c r="E224" s="364" t="s">
        <v>186</v>
      </c>
      <c r="F224" s="105" t="s">
        <v>200</v>
      </c>
      <c r="G224" s="158">
        <v>8980000</v>
      </c>
      <c r="H224" s="365" t="s">
        <v>200</v>
      </c>
      <c r="I224" s="391">
        <v>8979937</v>
      </c>
      <c r="J224" s="88"/>
      <c r="K224" s="88"/>
      <c r="L224" s="330" t="s">
        <v>159</v>
      </c>
      <c r="M224" s="333" t="s">
        <v>59</v>
      </c>
      <c r="N224" s="333"/>
      <c r="O224" s="336">
        <v>244105</v>
      </c>
      <c r="P224" s="319" t="s">
        <v>125</v>
      </c>
    </row>
    <row r="225" spans="1:16" ht="24" customHeight="1">
      <c r="A225" s="360"/>
      <c r="B225" s="97" t="s">
        <v>160</v>
      </c>
      <c r="C225" s="385"/>
      <c r="D225" s="385"/>
      <c r="E225" s="360"/>
      <c r="F225" s="107" t="s">
        <v>278</v>
      </c>
      <c r="G225" s="99">
        <v>9300000</v>
      </c>
      <c r="H225" s="362"/>
      <c r="I225" s="392"/>
      <c r="J225" s="98" t="s">
        <v>61</v>
      </c>
      <c r="K225" s="100" t="s">
        <v>392</v>
      </c>
      <c r="L225" s="331"/>
      <c r="M225" s="334"/>
      <c r="N225" s="334"/>
      <c r="O225" s="337"/>
      <c r="P225" s="320"/>
    </row>
    <row r="226" spans="1:16" ht="24" customHeight="1">
      <c r="A226" s="360"/>
      <c r="B226" s="97" t="s">
        <v>393</v>
      </c>
      <c r="C226" s="385"/>
      <c r="D226" s="385"/>
      <c r="E226" s="360"/>
      <c r="F226" s="348" t="s">
        <v>158</v>
      </c>
      <c r="G226" s="350">
        <v>11180000</v>
      </c>
      <c r="H226" s="362"/>
      <c r="I226" s="392"/>
      <c r="J226" s="98" t="s">
        <v>65</v>
      </c>
      <c r="K226" s="97" t="s">
        <v>394</v>
      </c>
      <c r="L226" s="331"/>
      <c r="M226" s="334"/>
      <c r="N226" s="334"/>
      <c r="O226" s="337"/>
      <c r="P226" s="320"/>
    </row>
    <row r="227" spans="1:16" ht="24" customHeight="1">
      <c r="A227" s="361"/>
      <c r="B227" s="102"/>
      <c r="C227" s="386"/>
      <c r="D227" s="386"/>
      <c r="E227" s="361"/>
      <c r="F227" s="349"/>
      <c r="G227" s="351"/>
      <c r="H227" s="363"/>
      <c r="I227" s="393"/>
      <c r="J227" s="134"/>
      <c r="K227" s="134"/>
      <c r="L227" s="332"/>
      <c r="M227" s="335"/>
      <c r="N227" s="335"/>
      <c r="O227" s="338"/>
      <c r="P227" s="321"/>
    </row>
    <row r="228" spans="1:16" ht="24" customHeight="1">
      <c r="A228" s="364">
        <v>49</v>
      </c>
      <c r="B228" s="94" t="s">
        <v>185</v>
      </c>
      <c r="C228" s="342">
        <v>2894893.46</v>
      </c>
      <c r="D228" s="394">
        <v>3494514</v>
      </c>
      <c r="E228" s="339" t="s">
        <v>186</v>
      </c>
      <c r="F228" s="324" t="s">
        <v>68</v>
      </c>
      <c r="G228" s="327">
        <v>3100000</v>
      </c>
      <c r="H228" s="324" t="s">
        <v>68</v>
      </c>
      <c r="I228" s="327">
        <v>3097536</v>
      </c>
      <c r="J228" s="96"/>
      <c r="K228" s="96"/>
      <c r="L228" s="331" t="s">
        <v>193</v>
      </c>
      <c r="M228" s="333" t="s">
        <v>59</v>
      </c>
      <c r="N228" s="334"/>
      <c r="O228" s="336">
        <v>244105</v>
      </c>
      <c r="P228" s="319" t="s">
        <v>125</v>
      </c>
    </row>
    <row r="229" spans="1:16" ht="24" customHeight="1">
      <c r="A229" s="360"/>
      <c r="B229" s="97" t="s">
        <v>166</v>
      </c>
      <c r="C229" s="343"/>
      <c r="D229" s="344"/>
      <c r="E229" s="340"/>
      <c r="F229" s="325"/>
      <c r="G229" s="328"/>
      <c r="H229" s="325"/>
      <c r="I229" s="328"/>
      <c r="J229" s="98" t="s">
        <v>71</v>
      </c>
      <c r="K229" s="100" t="s">
        <v>395</v>
      </c>
      <c r="L229" s="331"/>
      <c r="M229" s="334"/>
      <c r="N229" s="334"/>
      <c r="O229" s="337"/>
      <c r="P229" s="320"/>
    </row>
    <row r="230" spans="1:16" ht="24" customHeight="1">
      <c r="A230" s="360"/>
      <c r="B230" s="97" t="s">
        <v>396</v>
      </c>
      <c r="C230" s="343"/>
      <c r="D230" s="395"/>
      <c r="E230" s="340"/>
      <c r="F230" s="325"/>
      <c r="G230" s="328"/>
      <c r="H230" s="325"/>
      <c r="I230" s="328"/>
      <c r="J230" s="98" t="s">
        <v>65</v>
      </c>
      <c r="K230" s="97" t="s">
        <v>397</v>
      </c>
      <c r="L230" s="331"/>
      <c r="M230" s="334"/>
      <c r="N230" s="334"/>
      <c r="O230" s="337"/>
      <c r="P230" s="320"/>
    </row>
    <row r="231" spans="1:16" ht="24" customHeight="1">
      <c r="A231" s="341"/>
      <c r="B231" s="102"/>
      <c r="C231" s="354"/>
      <c r="D231" s="395"/>
      <c r="E231" s="341"/>
      <c r="F231" s="326"/>
      <c r="G231" s="329"/>
      <c r="H231" s="326"/>
      <c r="I231" s="329"/>
      <c r="J231" s="103"/>
      <c r="K231" s="102"/>
      <c r="L231" s="332"/>
      <c r="M231" s="335"/>
      <c r="N231" s="335"/>
      <c r="O231" s="338"/>
      <c r="P231" s="321"/>
    </row>
    <row r="232" spans="1:16" ht="24" customHeight="1">
      <c r="A232" s="364">
        <v>50</v>
      </c>
      <c r="B232" s="94" t="s">
        <v>67</v>
      </c>
      <c r="C232" s="342">
        <v>467200</v>
      </c>
      <c r="D232" s="342">
        <v>499270</v>
      </c>
      <c r="E232" s="364" t="s">
        <v>56</v>
      </c>
      <c r="F232" s="324" t="s">
        <v>398</v>
      </c>
      <c r="G232" s="327">
        <v>489218</v>
      </c>
      <c r="H232" s="324" t="s">
        <v>398</v>
      </c>
      <c r="I232" s="327">
        <v>489218</v>
      </c>
      <c r="J232" s="111"/>
      <c r="K232" s="96"/>
      <c r="L232" s="330" t="s">
        <v>159</v>
      </c>
      <c r="M232" s="333" t="s">
        <v>59</v>
      </c>
      <c r="N232" s="333"/>
      <c r="O232" s="336">
        <v>244136</v>
      </c>
      <c r="P232" s="319" t="s">
        <v>125</v>
      </c>
    </row>
    <row r="233" spans="1:16" ht="24" customHeight="1">
      <c r="A233" s="360"/>
      <c r="B233" s="97" t="s">
        <v>160</v>
      </c>
      <c r="C233" s="343"/>
      <c r="D233" s="343"/>
      <c r="E233" s="360"/>
      <c r="F233" s="325"/>
      <c r="G233" s="328"/>
      <c r="H233" s="325"/>
      <c r="I233" s="328"/>
      <c r="J233" s="98" t="s">
        <v>71</v>
      </c>
      <c r="K233" s="100" t="s">
        <v>399</v>
      </c>
      <c r="L233" s="331"/>
      <c r="M233" s="334"/>
      <c r="N233" s="334"/>
      <c r="O233" s="337"/>
      <c r="P233" s="320"/>
    </row>
    <row r="234" spans="1:16" ht="24" customHeight="1">
      <c r="A234" s="360"/>
      <c r="B234" s="97" t="s">
        <v>400</v>
      </c>
      <c r="C234" s="343"/>
      <c r="D234" s="343"/>
      <c r="E234" s="360"/>
      <c r="F234" s="325"/>
      <c r="G234" s="328"/>
      <c r="H234" s="325"/>
      <c r="I234" s="328"/>
      <c r="J234" s="98" t="s">
        <v>65</v>
      </c>
      <c r="K234" s="97" t="s">
        <v>401</v>
      </c>
      <c r="L234" s="331"/>
      <c r="M234" s="334"/>
      <c r="N234" s="334"/>
      <c r="O234" s="337"/>
      <c r="P234" s="320"/>
    </row>
    <row r="235" spans="1:16" ht="24" customHeight="1">
      <c r="A235" s="341"/>
      <c r="B235" s="112"/>
      <c r="C235" s="344"/>
      <c r="D235" s="344"/>
      <c r="E235" s="361"/>
      <c r="F235" s="326"/>
      <c r="G235" s="329"/>
      <c r="H235" s="326"/>
      <c r="I235" s="329"/>
      <c r="J235" s="113"/>
      <c r="K235" s="103"/>
      <c r="L235" s="332"/>
      <c r="M235" s="335"/>
      <c r="N235" s="335"/>
      <c r="O235" s="338"/>
      <c r="P235" s="321"/>
    </row>
    <row r="236" spans="1:16" ht="24" customHeight="1">
      <c r="A236" s="364">
        <v>51</v>
      </c>
      <c r="B236" s="94" t="s">
        <v>67</v>
      </c>
      <c r="C236" s="342">
        <v>467200</v>
      </c>
      <c r="D236" s="342">
        <v>499850</v>
      </c>
      <c r="E236" s="364" t="s">
        <v>56</v>
      </c>
      <c r="F236" s="324" t="s">
        <v>402</v>
      </c>
      <c r="G236" s="327">
        <v>489752</v>
      </c>
      <c r="H236" s="324" t="s">
        <v>402</v>
      </c>
      <c r="I236" s="327">
        <v>489752</v>
      </c>
      <c r="J236" s="111"/>
      <c r="K236" s="96"/>
      <c r="L236" s="330" t="s">
        <v>159</v>
      </c>
      <c r="M236" s="333" t="s">
        <v>59</v>
      </c>
      <c r="N236" s="333"/>
      <c r="O236" s="336">
        <v>244136</v>
      </c>
      <c r="P236" s="319" t="s">
        <v>125</v>
      </c>
    </row>
    <row r="237" spans="1:16" ht="24" customHeight="1">
      <c r="A237" s="360"/>
      <c r="B237" s="97" t="s">
        <v>160</v>
      </c>
      <c r="C237" s="343"/>
      <c r="D237" s="343"/>
      <c r="E237" s="360"/>
      <c r="F237" s="325"/>
      <c r="G237" s="328"/>
      <c r="H237" s="325"/>
      <c r="I237" s="328"/>
      <c r="J237" s="98" t="s">
        <v>71</v>
      </c>
      <c r="K237" s="100" t="s">
        <v>403</v>
      </c>
      <c r="L237" s="331"/>
      <c r="M237" s="334"/>
      <c r="N237" s="334"/>
      <c r="O237" s="337"/>
      <c r="P237" s="320"/>
    </row>
    <row r="238" spans="1:16" ht="24" customHeight="1">
      <c r="A238" s="360"/>
      <c r="B238" s="97" t="s">
        <v>404</v>
      </c>
      <c r="C238" s="343"/>
      <c r="D238" s="343"/>
      <c r="E238" s="360"/>
      <c r="F238" s="325"/>
      <c r="G238" s="328"/>
      <c r="H238" s="325"/>
      <c r="I238" s="328"/>
      <c r="J238" s="98" t="s">
        <v>65</v>
      </c>
      <c r="K238" s="97" t="s">
        <v>405</v>
      </c>
      <c r="L238" s="331"/>
      <c r="M238" s="334"/>
      <c r="N238" s="334"/>
      <c r="O238" s="337"/>
      <c r="P238" s="320"/>
    </row>
    <row r="239" spans="1:16" ht="24" customHeight="1">
      <c r="A239" s="341"/>
      <c r="B239" s="112"/>
      <c r="C239" s="344"/>
      <c r="D239" s="344"/>
      <c r="E239" s="361"/>
      <c r="F239" s="326"/>
      <c r="G239" s="329"/>
      <c r="H239" s="326"/>
      <c r="I239" s="329"/>
      <c r="J239" s="113"/>
      <c r="K239" s="103"/>
      <c r="L239" s="332"/>
      <c r="M239" s="335"/>
      <c r="N239" s="335"/>
      <c r="O239" s="338"/>
      <c r="P239" s="321"/>
    </row>
    <row r="240" spans="1:16" ht="24" customHeight="1">
      <c r="A240" s="364">
        <v>52</v>
      </c>
      <c r="B240" s="94" t="s">
        <v>406</v>
      </c>
      <c r="C240" s="342">
        <v>2500</v>
      </c>
      <c r="D240" s="342">
        <v>2675</v>
      </c>
      <c r="E240" s="364" t="s">
        <v>56</v>
      </c>
      <c r="F240" s="105" t="s">
        <v>407</v>
      </c>
      <c r="G240" s="89">
        <v>2675</v>
      </c>
      <c r="H240" s="324" t="s">
        <v>407</v>
      </c>
      <c r="I240" s="327">
        <v>2675</v>
      </c>
      <c r="J240" s="111"/>
      <c r="K240" s="96"/>
      <c r="L240" s="330" t="s">
        <v>408</v>
      </c>
      <c r="M240" s="333" t="s">
        <v>59</v>
      </c>
      <c r="N240" s="333"/>
      <c r="O240" s="336">
        <v>244136</v>
      </c>
      <c r="P240" s="319" t="s">
        <v>125</v>
      </c>
    </row>
    <row r="241" spans="1:16" ht="24" customHeight="1">
      <c r="A241" s="360"/>
      <c r="B241" s="97" t="s">
        <v>409</v>
      </c>
      <c r="C241" s="343"/>
      <c r="D241" s="343"/>
      <c r="E241" s="360"/>
      <c r="F241" s="348" t="s">
        <v>410</v>
      </c>
      <c r="G241" s="350">
        <v>2782</v>
      </c>
      <c r="H241" s="325"/>
      <c r="I241" s="328"/>
      <c r="J241" s="98" t="s">
        <v>61</v>
      </c>
      <c r="K241" s="100" t="s">
        <v>411</v>
      </c>
      <c r="L241" s="331"/>
      <c r="M241" s="334"/>
      <c r="N241" s="334"/>
      <c r="O241" s="337"/>
      <c r="P241" s="320"/>
    </row>
    <row r="242" spans="1:16" ht="24" customHeight="1">
      <c r="A242" s="360"/>
      <c r="B242" s="97"/>
      <c r="C242" s="343"/>
      <c r="D242" s="343"/>
      <c r="E242" s="360"/>
      <c r="F242" s="348"/>
      <c r="G242" s="350"/>
      <c r="H242" s="325"/>
      <c r="I242" s="328"/>
      <c r="J242" s="98" t="s">
        <v>65</v>
      </c>
      <c r="K242" s="97" t="s">
        <v>412</v>
      </c>
      <c r="L242" s="331"/>
      <c r="M242" s="334"/>
      <c r="N242" s="334"/>
      <c r="O242" s="337"/>
      <c r="P242" s="320"/>
    </row>
    <row r="243" spans="1:16" ht="24" customHeight="1">
      <c r="A243" s="341"/>
      <c r="B243" s="112"/>
      <c r="C243" s="344"/>
      <c r="D243" s="344"/>
      <c r="E243" s="361"/>
      <c r="F243" s="147" t="s">
        <v>413</v>
      </c>
      <c r="G243" s="135">
        <v>3852</v>
      </c>
      <c r="H243" s="326"/>
      <c r="I243" s="329"/>
      <c r="J243" s="113"/>
      <c r="K243" s="103"/>
      <c r="L243" s="332"/>
      <c r="M243" s="335"/>
      <c r="N243" s="335"/>
      <c r="O243" s="338"/>
      <c r="P243" s="321"/>
    </row>
    <row r="244" spans="1:16" ht="24" customHeight="1">
      <c r="A244" s="364">
        <v>53</v>
      </c>
      <c r="B244" s="94" t="s">
        <v>67</v>
      </c>
      <c r="C244" s="342">
        <v>467200</v>
      </c>
      <c r="D244" s="342">
        <v>498758</v>
      </c>
      <c r="E244" s="364" t="s">
        <v>56</v>
      </c>
      <c r="F244" s="324" t="s">
        <v>158</v>
      </c>
      <c r="G244" s="327">
        <v>488704</v>
      </c>
      <c r="H244" s="324" t="s">
        <v>158</v>
      </c>
      <c r="I244" s="327">
        <v>488704</v>
      </c>
      <c r="J244" s="111"/>
      <c r="K244" s="96"/>
      <c r="L244" s="330" t="s">
        <v>159</v>
      </c>
      <c r="M244" s="333" t="s">
        <v>59</v>
      </c>
      <c r="N244" s="333"/>
      <c r="O244" s="336">
        <v>244136</v>
      </c>
      <c r="P244" s="319" t="s">
        <v>125</v>
      </c>
    </row>
    <row r="245" spans="1:16" ht="24" customHeight="1">
      <c r="A245" s="360"/>
      <c r="B245" s="97" t="s">
        <v>160</v>
      </c>
      <c r="C245" s="343"/>
      <c r="D245" s="343"/>
      <c r="E245" s="360"/>
      <c r="F245" s="325"/>
      <c r="G245" s="328"/>
      <c r="H245" s="325"/>
      <c r="I245" s="328"/>
      <c r="J245" s="98" t="s">
        <v>71</v>
      </c>
      <c r="K245" s="100" t="s">
        <v>414</v>
      </c>
      <c r="L245" s="331"/>
      <c r="M245" s="334"/>
      <c r="N245" s="334"/>
      <c r="O245" s="337"/>
      <c r="P245" s="320"/>
    </row>
    <row r="246" spans="1:16" ht="24" customHeight="1">
      <c r="A246" s="360"/>
      <c r="B246" s="97" t="s">
        <v>415</v>
      </c>
      <c r="C246" s="343"/>
      <c r="D246" s="343"/>
      <c r="E246" s="360"/>
      <c r="F246" s="325"/>
      <c r="G246" s="328"/>
      <c r="H246" s="325"/>
      <c r="I246" s="328"/>
      <c r="J246" s="98" t="s">
        <v>65</v>
      </c>
      <c r="K246" s="97" t="s">
        <v>412</v>
      </c>
      <c r="L246" s="331"/>
      <c r="M246" s="334"/>
      <c r="N246" s="334"/>
      <c r="O246" s="337"/>
      <c r="P246" s="320"/>
    </row>
    <row r="247" spans="1:16" ht="24" customHeight="1">
      <c r="A247" s="341"/>
      <c r="B247" s="112"/>
      <c r="C247" s="344"/>
      <c r="D247" s="344"/>
      <c r="E247" s="361"/>
      <c r="F247" s="326"/>
      <c r="G247" s="329"/>
      <c r="H247" s="326"/>
      <c r="I247" s="329"/>
      <c r="J247" s="113"/>
      <c r="K247" s="103"/>
      <c r="L247" s="332"/>
      <c r="M247" s="335"/>
      <c r="N247" s="335"/>
      <c r="O247" s="338"/>
      <c r="P247" s="321"/>
    </row>
    <row r="248" spans="1:16" ht="24" customHeight="1">
      <c r="A248" s="364">
        <v>54</v>
      </c>
      <c r="B248" s="94" t="s">
        <v>67</v>
      </c>
      <c r="C248" s="384">
        <v>3000000</v>
      </c>
      <c r="D248" s="384">
        <v>2585367</v>
      </c>
      <c r="E248" s="364" t="s">
        <v>186</v>
      </c>
      <c r="F248" s="88" t="s">
        <v>356</v>
      </c>
      <c r="G248" s="89">
        <v>1669000</v>
      </c>
      <c r="H248" s="388" t="s">
        <v>356</v>
      </c>
      <c r="I248" s="391">
        <v>1668996</v>
      </c>
      <c r="J248" s="88"/>
      <c r="K248" s="88"/>
      <c r="L248" s="330" t="s">
        <v>159</v>
      </c>
      <c r="M248" s="333" t="s">
        <v>59</v>
      </c>
      <c r="N248" s="333"/>
      <c r="O248" s="378">
        <v>244136</v>
      </c>
      <c r="P248" s="319" t="s">
        <v>125</v>
      </c>
    </row>
    <row r="249" spans="1:16" ht="24" customHeight="1">
      <c r="A249" s="360"/>
      <c r="B249" s="97" t="s">
        <v>160</v>
      </c>
      <c r="C249" s="385"/>
      <c r="D249" s="385"/>
      <c r="E249" s="360"/>
      <c r="F249" s="98" t="s">
        <v>200</v>
      </c>
      <c r="G249" s="99">
        <v>1758000</v>
      </c>
      <c r="H249" s="389"/>
      <c r="I249" s="392"/>
      <c r="J249" s="148"/>
      <c r="K249" s="148"/>
      <c r="L249" s="331"/>
      <c r="M249" s="334"/>
      <c r="N249" s="334"/>
      <c r="O249" s="379"/>
      <c r="P249" s="320"/>
    </row>
    <row r="250" spans="1:16" ht="24" customHeight="1">
      <c r="A250" s="360"/>
      <c r="B250" s="97" t="s">
        <v>416</v>
      </c>
      <c r="C250" s="385"/>
      <c r="D250" s="385"/>
      <c r="E250" s="360"/>
      <c r="F250" s="107" t="s">
        <v>278</v>
      </c>
      <c r="G250" s="99">
        <v>1850000</v>
      </c>
      <c r="H250" s="389"/>
      <c r="I250" s="392"/>
      <c r="J250" s="98"/>
      <c r="K250" s="100"/>
      <c r="L250" s="331"/>
      <c r="M250" s="334"/>
      <c r="N250" s="334"/>
      <c r="O250" s="379"/>
      <c r="P250" s="320"/>
    </row>
    <row r="251" spans="1:16" ht="24" customHeight="1">
      <c r="A251" s="360"/>
      <c r="B251" s="97"/>
      <c r="C251" s="385"/>
      <c r="D251" s="385"/>
      <c r="E251" s="360"/>
      <c r="F251" s="107" t="s">
        <v>273</v>
      </c>
      <c r="G251" s="99">
        <v>2000000</v>
      </c>
      <c r="H251" s="389"/>
      <c r="I251" s="392"/>
      <c r="J251" s="98" t="s">
        <v>61</v>
      </c>
      <c r="K251" s="100" t="s">
        <v>417</v>
      </c>
      <c r="L251" s="331"/>
      <c r="M251" s="334"/>
      <c r="N251" s="334"/>
      <c r="O251" s="379"/>
      <c r="P251" s="320"/>
    </row>
    <row r="252" spans="1:16" ht="24" customHeight="1">
      <c r="A252" s="360"/>
      <c r="B252" s="97"/>
      <c r="C252" s="385"/>
      <c r="D252" s="385"/>
      <c r="E252" s="360"/>
      <c r="F252" s="348" t="s">
        <v>158</v>
      </c>
      <c r="G252" s="350">
        <v>2080000</v>
      </c>
      <c r="H252" s="389"/>
      <c r="I252" s="392"/>
      <c r="J252" s="98" t="s">
        <v>65</v>
      </c>
      <c r="K252" s="97" t="s">
        <v>418</v>
      </c>
      <c r="L252" s="331"/>
      <c r="M252" s="334"/>
      <c r="N252" s="334"/>
      <c r="O252" s="379"/>
      <c r="P252" s="320"/>
    </row>
    <row r="253" spans="1:16" ht="24" customHeight="1">
      <c r="A253" s="360"/>
      <c r="B253" s="97"/>
      <c r="C253" s="385"/>
      <c r="D253" s="385"/>
      <c r="E253" s="360"/>
      <c r="F253" s="348"/>
      <c r="G253" s="350"/>
      <c r="H253" s="389"/>
      <c r="I253" s="392"/>
      <c r="J253" s="98"/>
      <c r="K253" s="97"/>
      <c r="L253" s="331"/>
      <c r="M253" s="334"/>
      <c r="N253" s="334"/>
      <c r="O253" s="379"/>
      <c r="P253" s="320"/>
    </row>
    <row r="254" spans="1:16" ht="24" customHeight="1">
      <c r="A254" s="360"/>
      <c r="B254" s="97"/>
      <c r="C254" s="385"/>
      <c r="D254" s="385"/>
      <c r="E254" s="360"/>
      <c r="F254" s="107" t="s">
        <v>359</v>
      </c>
      <c r="G254" s="99">
        <v>2120000</v>
      </c>
      <c r="H254" s="389"/>
      <c r="I254" s="392"/>
      <c r="J254" s="98"/>
      <c r="K254" s="97"/>
      <c r="L254" s="331"/>
      <c r="M254" s="334"/>
      <c r="N254" s="334"/>
      <c r="O254" s="379"/>
      <c r="P254" s="320"/>
    </row>
    <row r="255" spans="1:16" ht="24" customHeight="1">
      <c r="A255" s="361"/>
      <c r="B255" s="102"/>
      <c r="C255" s="386"/>
      <c r="D255" s="386"/>
      <c r="E255" s="361"/>
      <c r="F255" s="147" t="s">
        <v>252</v>
      </c>
      <c r="G255" s="135">
        <v>2465000</v>
      </c>
      <c r="H255" s="390"/>
      <c r="I255" s="393"/>
      <c r="J255" s="134"/>
      <c r="K255" s="134"/>
      <c r="L255" s="332"/>
      <c r="M255" s="335"/>
      <c r="N255" s="335"/>
      <c r="O255" s="380"/>
      <c r="P255" s="321"/>
    </row>
    <row r="256" spans="1:16" ht="24" customHeight="1">
      <c r="A256" s="364">
        <v>55</v>
      </c>
      <c r="B256" s="94" t="s">
        <v>191</v>
      </c>
      <c r="C256" s="342">
        <v>400000</v>
      </c>
      <c r="D256" s="342">
        <v>427817.57</v>
      </c>
      <c r="E256" s="364" t="s">
        <v>56</v>
      </c>
      <c r="F256" s="324" t="s">
        <v>192</v>
      </c>
      <c r="G256" s="327">
        <v>419189.09</v>
      </c>
      <c r="H256" s="324" t="s">
        <v>192</v>
      </c>
      <c r="I256" s="327">
        <v>419189.09</v>
      </c>
      <c r="J256" s="111"/>
      <c r="K256" s="96"/>
      <c r="L256" s="330" t="s">
        <v>193</v>
      </c>
      <c r="M256" s="333" t="s">
        <v>59</v>
      </c>
      <c r="N256" s="333"/>
      <c r="O256" s="336">
        <v>244166</v>
      </c>
      <c r="P256" s="319" t="s">
        <v>125</v>
      </c>
    </row>
    <row r="257" spans="1:16" ht="24" customHeight="1">
      <c r="A257" s="360"/>
      <c r="B257" s="97" t="s">
        <v>166</v>
      </c>
      <c r="C257" s="343"/>
      <c r="D257" s="343"/>
      <c r="E257" s="360"/>
      <c r="F257" s="325"/>
      <c r="G257" s="328"/>
      <c r="H257" s="325"/>
      <c r="I257" s="328"/>
      <c r="J257" s="98" t="s">
        <v>71</v>
      </c>
      <c r="K257" s="100" t="s">
        <v>419</v>
      </c>
      <c r="L257" s="331"/>
      <c r="M257" s="334"/>
      <c r="N257" s="334"/>
      <c r="O257" s="337"/>
      <c r="P257" s="320"/>
    </row>
    <row r="258" spans="1:16" ht="24" customHeight="1">
      <c r="A258" s="360"/>
      <c r="B258" s="97" t="s">
        <v>420</v>
      </c>
      <c r="C258" s="343"/>
      <c r="D258" s="343"/>
      <c r="E258" s="360"/>
      <c r="F258" s="325"/>
      <c r="G258" s="328"/>
      <c r="H258" s="325"/>
      <c r="I258" s="328"/>
      <c r="J258" s="98" t="s">
        <v>65</v>
      </c>
      <c r="K258" s="97" t="s">
        <v>421</v>
      </c>
      <c r="L258" s="331"/>
      <c r="M258" s="334"/>
      <c r="N258" s="334"/>
      <c r="O258" s="337"/>
      <c r="P258" s="320"/>
    </row>
    <row r="259" spans="1:16" ht="24" customHeight="1">
      <c r="A259" s="361"/>
      <c r="B259" s="138"/>
      <c r="C259" s="344"/>
      <c r="D259" s="344"/>
      <c r="E259" s="361"/>
      <c r="F259" s="326"/>
      <c r="G259" s="329"/>
      <c r="H259" s="326"/>
      <c r="I259" s="329"/>
      <c r="J259" s="139"/>
      <c r="K259" s="98"/>
      <c r="L259" s="332"/>
      <c r="M259" s="335"/>
      <c r="N259" s="335"/>
      <c r="O259" s="338"/>
      <c r="P259" s="321"/>
    </row>
    <row r="260" spans="1:16" ht="24" customHeight="1">
      <c r="A260" s="364">
        <v>56</v>
      </c>
      <c r="B260" s="94" t="s">
        <v>67</v>
      </c>
      <c r="C260" s="384">
        <v>4672000</v>
      </c>
      <c r="D260" s="384">
        <v>4790186</v>
      </c>
      <c r="E260" s="364" t="s">
        <v>186</v>
      </c>
      <c r="F260" s="88" t="s">
        <v>328</v>
      </c>
      <c r="G260" s="89">
        <v>3000000</v>
      </c>
      <c r="H260" s="388" t="s">
        <v>328</v>
      </c>
      <c r="I260" s="391">
        <v>2999691</v>
      </c>
      <c r="J260" s="88"/>
      <c r="K260" s="88"/>
      <c r="L260" s="330" t="s">
        <v>159</v>
      </c>
      <c r="M260" s="333" t="s">
        <v>59</v>
      </c>
      <c r="N260" s="333"/>
      <c r="O260" s="378">
        <v>244166</v>
      </c>
      <c r="P260" s="381" t="s">
        <v>125</v>
      </c>
    </row>
    <row r="261" spans="1:16" ht="24" customHeight="1">
      <c r="A261" s="360"/>
      <c r="B261" s="97" t="s">
        <v>160</v>
      </c>
      <c r="C261" s="385"/>
      <c r="D261" s="385"/>
      <c r="E261" s="360"/>
      <c r="F261" s="98" t="s">
        <v>359</v>
      </c>
      <c r="G261" s="99">
        <v>3333985</v>
      </c>
      <c r="H261" s="389"/>
      <c r="I261" s="392"/>
      <c r="J261" s="98" t="s">
        <v>61</v>
      </c>
      <c r="K261" s="100" t="s">
        <v>422</v>
      </c>
      <c r="L261" s="331"/>
      <c r="M261" s="334"/>
      <c r="N261" s="334"/>
      <c r="O261" s="379"/>
      <c r="P261" s="382"/>
    </row>
    <row r="262" spans="1:16" ht="24" customHeight="1">
      <c r="A262" s="360"/>
      <c r="B262" s="97" t="s">
        <v>423</v>
      </c>
      <c r="C262" s="385"/>
      <c r="D262" s="385"/>
      <c r="E262" s="360"/>
      <c r="F262" s="107" t="s">
        <v>327</v>
      </c>
      <c r="G262" s="99">
        <v>3449337.6</v>
      </c>
      <c r="H262" s="389"/>
      <c r="I262" s="392"/>
      <c r="J262" s="98" t="s">
        <v>65</v>
      </c>
      <c r="K262" s="97" t="s">
        <v>424</v>
      </c>
      <c r="L262" s="331"/>
      <c r="M262" s="334"/>
      <c r="N262" s="334"/>
      <c r="O262" s="379"/>
      <c r="P262" s="382"/>
    </row>
    <row r="263" spans="1:16" ht="24" customHeight="1">
      <c r="A263" s="360"/>
      <c r="B263" s="97"/>
      <c r="C263" s="385"/>
      <c r="D263" s="385"/>
      <c r="E263" s="360"/>
      <c r="F263" s="107" t="s">
        <v>200</v>
      </c>
      <c r="G263" s="99">
        <v>3477000</v>
      </c>
      <c r="H263" s="389"/>
      <c r="I263" s="392"/>
      <c r="J263" s="98"/>
      <c r="K263" s="100"/>
      <c r="L263" s="331"/>
      <c r="M263" s="334"/>
      <c r="N263" s="334"/>
      <c r="O263" s="379"/>
      <c r="P263" s="382"/>
    </row>
    <row r="264" spans="1:16" ht="24" customHeight="1">
      <c r="A264" s="361"/>
      <c r="B264" s="102"/>
      <c r="C264" s="386"/>
      <c r="D264" s="386"/>
      <c r="E264" s="361"/>
      <c r="F264" s="147" t="s">
        <v>325</v>
      </c>
      <c r="G264" s="135">
        <v>3999000</v>
      </c>
      <c r="H264" s="390"/>
      <c r="I264" s="393"/>
      <c r="J264" s="103"/>
      <c r="K264" s="102"/>
      <c r="L264" s="332"/>
      <c r="M264" s="335"/>
      <c r="N264" s="335"/>
      <c r="O264" s="380"/>
      <c r="P264" s="383"/>
    </row>
    <row r="265" spans="1:16" ht="24" customHeight="1">
      <c r="A265" s="364">
        <v>57</v>
      </c>
      <c r="B265" s="94" t="s">
        <v>67</v>
      </c>
      <c r="C265" s="384">
        <v>15000000</v>
      </c>
      <c r="D265" s="384">
        <v>12515114</v>
      </c>
      <c r="E265" s="364" t="s">
        <v>186</v>
      </c>
      <c r="F265" s="324" t="s">
        <v>285</v>
      </c>
      <c r="G265" s="387">
        <v>8200000</v>
      </c>
      <c r="H265" s="388" t="s">
        <v>285</v>
      </c>
      <c r="I265" s="391">
        <v>8197226</v>
      </c>
      <c r="J265" s="96"/>
      <c r="K265" s="94"/>
      <c r="L265" s="330" t="s">
        <v>159</v>
      </c>
      <c r="M265" s="333" t="s">
        <v>59</v>
      </c>
      <c r="N265" s="333"/>
      <c r="O265" s="336">
        <v>244166</v>
      </c>
      <c r="P265" s="319" t="s">
        <v>125</v>
      </c>
    </row>
    <row r="266" spans="1:16" ht="24" customHeight="1">
      <c r="A266" s="360"/>
      <c r="B266" s="97" t="s">
        <v>160</v>
      </c>
      <c r="C266" s="385"/>
      <c r="D266" s="385"/>
      <c r="E266" s="360"/>
      <c r="F266" s="325"/>
      <c r="G266" s="350"/>
      <c r="H266" s="389"/>
      <c r="I266" s="392"/>
      <c r="J266" s="98" t="s">
        <v>61</v>
      </c>
      <c r="K266" s="100" t="s">
        <v>425</v>
      </c>
      <c r="L266" s="331"/>
      <c r="M266" s="334"/>
      <c r="N266" s="334"/>
      <c r="O266" s="337"/>
      <c r="P266" s="320"/>
    </row>
    <row r="267" spans="1:16" ht="24" customHeight="1">
      <c r="A267" s="360"/>
      <c r="B267" s="97" t="s">
        <v>426</v>
      </c>
      <c r="C267" s="385"/>
      <c r="D267" s="385"/>
      <c r="E267" s="360"/>
      <c r="F267" s="348" t="s">
        <v>278</v>
      </c>
      <c r="G267" s="350">
        <v>9161000</v>
      </c>
      <c r="H267" s="389"/>
      <c r="I267" s="392"/>
      <c r="J267" s="98" t="s">
        <v>65</v>
      </c>
      <c r="K267" s="97" t="s">
        <v>427</v>
      </c>
      <c r="L267" s="331"/>
      <c r="M267" s="334"/>
      <c r="N267" s="334"/>
      <c r="O267" s="337"/>
      <c r="P267" s="320"/>
    </row>
    <row r="268" spans="1:16" ht="24" customHeight="1">
      <c r="A268" s="361"/>
      <c r="B268" s="102"/>
      <c r="C268" s="386"/>
      <c r="D268" s="386"/>
      <c r="E268" s="361"/>
      <c r="F268" s="349"/>
      <c r="G268" s="351"/>
      <c r="H268" s="390"/>
      <c r="I268" s="393"/>
      <c r="J268" s="134"/>
      <c r="K268" s="134"/>
      <c r="L268" s="332"/>
      <c r="M268" s="335"/>
      <c r="N268" s="335"/>
      <c r="O268" s="338"/>
      <c r="P268" s="321"/>
    </row>
    <row r="269" spans="1:16" ht="24" customHeight="1">
      <c r="A269" s="339">
        <v>58</v>
      </c>
      <c r="B269" s="94" t="s">
        <v>428</v>
      </c>
      <c r="C269" s="352">
        <v>12000</v>
      </c>
      <c r="D269" s="342">
        <v>12840</v>
      </c>
      <c r="E269" s="339" t="s">
        <v>56</v>
      </c>
      <c r="F269" s="366" t="s">
        <v>429</v>
      </c>
      <c r="G269" s="327">
        <v>12840</v>
      </c>
      <c r="H269" s="369" t="s">
        <v>429</v>
      </c>
      <c r="I269" s="327">
        <v>12840</v>
      </c>
      <c r="J269" s="96"/>
      <c r="K269" s="96"/>
      <c r="L269" s="330" t="s">
        <v>90</v>
      </c>
      <c r="M269" s="333" t="s">
        <v>59</v>
      </c>
      <c r="N269" s="345"/>
      <c r="O269" s="336">
        <v>244197</v>
      </c>
      <c r="P269" s="319" t="s">
        <v>125</v>
      </c>
    </row>
    <row r="270" spans="1:16" ht="24" customHeight="1">
      <c r="A270" s="340"/>
      <c r="B270" s="97" t="s">
        <v>430</v>
      </c>
      <c r="C270" s="353"/>
      <c r="D270" s="343"/>
      <c r="E270" s="340"/>
      <c r="F270" s="367"/>
      <c r="G270" s="328"/>
      <c r="H270" s="370"/>
      <c r="I270" s="328"/>
      <c r="J270" s="98" t="s">
        <v>61</v>
      </c>
      <c r="K270" s="100" t="s">
        <v>431</v>
      </c>
      <c r="L270" s="331"/>
      <c r="M270" s="334"/>
      <c r="N270" s="346"/>
      <c r="O270" s="337"/>
      <c r="P270" s="320"/>
    </row>
    <row r="271" spans="1:16" ht="24" customHeight="1">
      <c r="A271" s="340"/>
      <c r="B271" s="97"/>
      <c r="C271" s="353"/>
      <c r="D271" s="343"/>
      <c r="E271" s="340"/>
      <c r="F271" s="98" t="s">
        <v>432</v>
      </c>
      <c r="G271" s="99">
        <v>13794.98</v>
      </c>
      <c r="H271" s="370"/>
      <c r="I271" s="328"/>
      <c r="J271" s="98" t="s">
        <v>65</v>
      </c>
      <c r="K271" s="97" t="s">
        <v>433</v>
      </c>
      <c r="L271" s="331"/>
      <c r="M271" s="334"/>
      <c r="N271" s="346"/>
      <c r="O271" s="337"/>
      <c r="P271" s="320"/>
    </row>
    <row r="272" spans="1:16" ht="24" customHeight="1">
      <c r="A272" s="341"/>
      <c r="B272" s="102"/>
      <c r="C272" s="354"/>
      <c r="D272" s="344"/>
      <c r="E272" s="341"/>
      <c r="F272" s="103" t="s">
        <v>434</v>
      </c>
      <c r="G272" s="135">
        <v>14926.5</v>
      </c>
      <c r="H272" s="371"/>
      <c r="I272" s="329"/>
      <c r="J272" s="103"/>
      <c r="K272" s="103"/>
      <c r="L272" s="332"/>
      <c r="M272" s="335"/>
      <c r="N272" s="347"/>
      <c r="O272" s="338"/>
      <c r="P272" s="321"/>
    </row>
    <row r="273" spans="1:16" ht="24" customHeight="1">
      <c r="A273" s="339">
        <v>59</v>
      </c>
      <c r="B273" s="94" t="s">
        <v>260</v>
      </c>
      <c r="C273" s="352">
        <v>62000</v>
      </c>
      <c r="D273" s="342">
        <v>66340</v>
      </c>
      <c r="E273" s="339" t="s">
        <v>56</v>
      </c>
      <c r="F273" s="88" t="s">
        <v>364</v>
      </c>
      <c r="G273" s="89">
        <v>64997.15</v>
      </c>
      <c r="H273" s="355" t="s">
        <v>364</v>
      </c>
      <c r="I273" s="327">
        <v>64997.15</v>
      </c>
      <c r="J273" s="96"/>
      <c r="K273" s="96"/>
      <c r="L273" s="330" t="s">
        <v>262</v>
      </c>
      <c r="M273" s="333" t="s">
        <v>59</v>
      </c>
      <c r="N273" s="345"/>
      <c r="O273" s="336">
        <v>244197</v>
      </c>
      <c r="P273" s="319" t="s">
        <v>125</v>
      </c>
    </row>
    <row r="274" spans="1:16" ht="24" customHeight="1">
      <c r="A274" s="340"/>
      <c r="B274" s="97" t="s">
        <v>435</v>
      </c>
      <c r="C274" s="353"/>
      <c r="D274" s="343"/>
      <c r="E274" s="340"/>
      <c r="F274" s="98" t="s">
        <v>370</v>
      </c>
      <c r="G274" s="99">
        <v>72192.899999999994</v>
      </c>
      <c r="H274" s="356"/>
      <c r="I274" s="328"/>
      <c r="J274" s="98" t="s">
        <v>61</v>
      </c>
      <c r="K274" s="100" t="s">
        <v>436</v>
      </c>
      <c r="L274" s="331"/>
      <c r="M274" s="334"/>
      <c r="N274" s="346"/>
      <c r="O274" s="337"/>
      <c r="P274" s="320"/>
    </row>
    <row r="275" spans="1:16" ht="24" customHeight="1">
      <c r="A275" s="340"/>
      <c r="B275" s="97" t="s">
        <v>437</v>
      </c>
      <c r="C275" s="353"/>
      <c r="D275" s="343"/>
      <c r="E275" s="340"/>
      <c r="F275" s="348" t="s">
        <v>438</v>
      </c>
      <c r="G275" s="350">
        <v>81186.25</v>
      </c>
      <c r="H275" s="356"/>
      <c r="I275" s="328"/>
      <c r="J275" s="98" t="s">
        <v>65</v>
      </c>
      <c r="K275" s="97" t="s">
        <v>439</v>
      </c>
      <c r="L275" s="331"/>
      <c r="M275" s="334"/>
      <c r="N275" s="346"/>
      <c r="O275" s="337"/>
      <c r="P275" s="320"/>
    </row>
    <row r="276" spans="1:16" ht="24" customHeight="1">
      <c r="A276" s="341"/>
      <c r="B276" s="102"/>
      <c r="C276" s="354"/>
      <c r="D276" s="344"/>
      <c r="E276" s="341"/>
      <c r="F276" s="349"/>
      <c r="G276" s="351"/>
      <c r="H276" s="357"/>
      <c r="I276" s="329"/>
      <c r="J276" s="103"/>
      <c r="K276" s="103"/>
      <c r="L276" s="332"/>
      <c r="M276" s="335"/>
      <c r="N276" s="347"/>
      <c r="O276" s="338"/>
      <c r="P276" s="321"/>
    </row>
    <row r="277" spans="1:16" ht="24" customHeight="1">
      <c r="A277" s="339">
        <v>60</v>
      </c>
      <c r="B277" s="94" t="s">
        <v>440</v>
      </c>
      <c r="C277" s="352">
        <v>52985</v>
      </c>
      <c r="D277" s="342">
        <v>56693.95</v>
      </c>
      <c r="E277" s="339" t="s">
        <v>56</v>
      </c>
      <c r="F277" s="88" t="s">
        <v>441</v>
      </c>
      <c r="G277" s="89">
        <v>46010</v>
      </c>
      <c r="H277" s="355" t="s">
        <v>441</v>
      </c>
      <c r="I277" s="327">
        <v>46010</v>
      </c>
      <c r="J277" s="96"/>
      <c r="K277" s="96"/>
      <c r="L277" s="330" t="s">
        <v>124</v>
      </c>
      <c r="M277" s="375"/>
      <c r="N277" s="333" t="s">
        <v>59</v>
      </c>
      <c r="O277" s="336">
        <v>244197</v>
      </c>
      <c r="P277" s="319" t="s">
        <v>125</v>
      </c>
    </row>
    <row r="278" spans="1:16" ht="24" customHeight="1">
      <c r="A278" s="340"/>
      <c r="B278" s="97" t="s">
        <v>442</v>
      </c>
      <c r="C278" s="353"/>
      <c r="D278" s="343"/>
      <c r="E278" s="340"/>
      <c r="F278" s="98" t="s">
        <v>443</v>
      </c>
      <c r="G278" s="99">
        <v>50164.17</v>
      </c>
      <c r="H278" s="356"/>
      <c r="I278" s="328"/>
      <c r="J278" s="98" t="s">
        <v>61</v>
      </c>
      <c r="K278" s="100" t="s">
        <v>444</v>
      </c>
      <c r="L278" s="331"/>
      <c r="M278" s="376"/>
      <c r="N278" s="334"/>
      <c r="O278" s="337"/>
      <c r="P278" s="320"/>
    </row>
    <row r="279" spans="1:16" ht="24" customHeight="1">
      <c r="A279" s="340"/>
      <c r="B279" s="97" t="s">
        <v>445</v>
      </c>
      <c r="C279" s="353"/>
      <c r="D279" s="343"/>
      <c r="E279" s="340"/>
      <c r="F279" s="360" t="s">
        <v>446</v>
      </c>
      <c r="G279" s="350">
        <v>56693.95</v>
      </c>
      <c r="H279" s="356"/>
      <c r="I279" s="328"/>
      <c r="J279" s="98" t="s">
        <v>65</v>
      </c>
      <c r="K279" s="97" t="s">
        <v>447</v>
      </c>
      <c r="L279" s="331"/>
      <c r="M279" s="376"/>
      <c r="N279" s="334"/>
      <c r="O279" s="337"/>
      <c r="P279" s="320"/>
    </row>
    <row r="280" spans="1:16" ht="24" customHeight="1">
      <c r="A280" s="341"/>
      <c r="B280" s="102"/>
      <c r="C280" s="354"/>
      <c r="D280" s="344"/>
      <c r="E280" s="341"/>
      <c r="F280" s="361"/>
      <c r="G280" s="351"/>
      <c r="H280" s="357"/>
      <c r="I280" s="329"/>
      <c r="J280" s="103"/>
      <c r="K280" s="103"/>
      <c r="L280" s="332"/>
      <c r="M280" s="377"/>
      <c r="N280" s="335"/>
      <c r="O280" s="338"/>
      <c r="P280" s="321"/>
    </row>
    <row r="281" spans="1:16" ht="24" customHeight="1">
      <c r="A281" s="339">
        <v>61</v>
      </c>
      <c r="B281" s="94" t="s">
        <v>448</v>
      </c>
      <c r="C281" s="352">
        <v>111120</v>
      </c>
      <c r="D281" s="342">
        <v>118898.4</v>
      </c>
      <c r="E281" s="339" t="s">
        <v>56</v>
      </c>
      <c r="F281" s="88" t="s">
        <v>449</v>
      </c>
      <c r="G281" s="89">
        <v>118898.4</v>
      </c>
      <c r="H281" s="355" t="s">
        <v>450</v>
      </c>
      <c r="I281" s="327">
        <v>118898.4</v>
      </c>
      <c r="J281" s="96"/>
      <c r="K281" s="96"/>
      <c r="L281" s="330" t="s">
        <v>239</v>
      </c>
      <c r="M281" s="333" t="s">
        <v>59</v>
      </c>
      <c r="N281" s="345"/>
      <c r="O281" s="336">
        <v>244197</v>
      </c>
      <c r="P281" s="319" t="s">
        <v>125</v>
      </c>
    </row>
    <row r="282" spans="1:16" ht="24" customHeight="1">
      <c r="A282" s="340"/>
      <c r="B282" s="97" t="s">
        <v>451</v>
      </c>
      <c r="C282" s="353"/>
      <c r="D282" s="343"/>
      <c r="E282" s="340"/>
      <c r="F282" s="98" t="s">
        <v>452</v>
      </c>
      <c r="G282" s="99">
        <v>125832</v>
      </c>
      <c r="H282" s="356"/>
      <c r="I282" s="328"/>
      <c r="J282" s="98" t="s">
        <v>61</v>
      </c>
      <c r="K282" s="100" t="s">
        <v>453</v>
      </c>
      <c r="L282" s="331"/>
      <c r="M282" s="334"/>
      <c r="N282" s="346"/>
      <c r="O282" s="337"/>
      <c r="P282" s="320"/>
    </row>
    <row r="283" spans="1:16" ht="24" customHeight="1">
      <c r="A283" s="340"/>
      <c r="B283" s="97"/>
      <c r="C283" s="353"/>
      <c r="D283" s="343"/>
      <c r="E283" s="340"/>
      <c r="F283" s="360" t="s">
        <v>454</v>
      </c>
      <c r="G283" s="350">
        <v>136232.4</v>
      </c>
      <c r="H283" s="356"/>
      <c r="I283" s="328"/>
      <c r="J283" s="98" t="s">
        <v>65</v>
      </c>
      <c r="K283" s="97" t="s">
        <v>455</v>
      </c>
      <c r="L283" s="331"/>
      <c r="M283" s="334"/>
      <c r="N283" s="346"/>
      <c r="O283" s="337"/>
      <c r="P283" s="320"/>
    </row>
    <row r="284" spans="1:16" ht="24" customHeight="1">
      <c r="A284" s="341"/>
      <c r="B284" s="102"/>
      <c r="C284" s="354"/>
      <c r="D284" s="344"/>
      <c r="E284" s="341"/>
      <c r="F284" s="361"/>
      <c r="G284" s="351"/>
      <c r="H284" s="357"/>
      <c r="I284" s="329"/>
      <c r="J284" s="103"/>
      <c r="K284" s="103"/>
      <c r="L284" s="332"/>
      <c r="M284" s="335"/>
      <c r="N284" s="347"/>
      <c r="O284" s="338"/>
      <c r="P284" s="321"/>
    </row>
    <row r="285" spans="1:16" ht="24" customHeight="1">
      <c r="A285" s="364">
        <v>62</v>
      </c>
      <c r="B285" s="97" t="s">
        <v>456</v>
      </c>
      <c r="C285" s="342">
        <v>5680</v>
      </c>
      <c r="D285" s="342">
        <v>6077.6</v>
      </c>
      <c r="E285" s="339" t="s">
        <v>56</v>
      </c>
      <c r="F285" s="105" t="s">
        <v>76</v>
      </c>
      <c r="G285" s="89">
        <v>6077.6</v>
      </c>
      <c r="H285" s="372" t="s">
        <v>76</v>
      </c>
      <c r="I285" s="327">
        <v>6077.6</v>
      </c>
      <c r="J285" s="111"/>
      <c r="K285" s="96"/>
      <c r="L285" s="330" t="s">
        <v>90</v>
      </c>
      <c r="M285" s="333" t="s">
        <v>59</v>
      </c>
      <c r="N285" s="333"/>
      <c r="O285" s="336">
        <v>244197</v>
      </c>
      <c r="P285" s="319" t="s">
        <v>125</v>
      </c>
    </row>
    <row r="286" spans="1:16" ht="24" customHeight="1">
      <c r="A286" s="360"/>
      <c r="B286" s="97" t="s">
        <v>457</v>
      </c>
      <c r="C286" s="343"/>
      <c r="D286" s="343"/>
      <c r="E286" s="340"/>
      <c r="F286" s="107" t="s">
        <v>79</v>
      </c>
      <c r="G286" s="99">
        <v>6634</v>
      </c>
      <c r="H286" s="373"/>
      <c r="I286" s="328"/>
      <c r="J286" s="98" t="s">
        <v>61</v>
      </c>
      <c r="K286" s="100" t="s">
        <v>458</v>
      </c>
      <c r="L286" s="331"/>
      <c r="M286" s="334"/>
      <c r="N286" s="334"/>
      <c r="O286" s="337"/>
      <c r="P286" s="320"/>
    </row>
    <row r="287" spans="1:16" ht="24" customHeight="1">
      <c r="A287" s="360"/>
      <c r="B287" s="97"/>
      <c r="C287" s="343"/>
      <c r="D287" s="343"/>
      <c r="E287" s="340"/>
      <c r="F287" s="348" t="s">
        <v>82</v>
      </c>
      <c r="G287" s="350">
        <v>7276</v>
      </c>
      <c r="H287" s="373"/>
      <c r="I287" s="328"/>
      <c r="J287" s="98" t="s">
        <v>65</v>
      </c>
      <c r="K287" s="97" t="s">
        <v>455</v>
      </c>
      <c r="L287" s="331"/>
      <c r="M287" s="334"/>
      <c r="N287" s="334"/>
      <c r="O287" s="337"/>
      <c r="P287" s="320"/>
    </row>
    <row r="288" spans="1:16" ht="24" customHeight="1">
      <c r="A288" s="361"/>
      <c r="B288" s="112"/>
      <c r="C288" s="344"/>
      <c r="D288" s="344"/>
      <c r="E288" s="341"/>
      <c r="F288" s="349"/>
      <c r="G288" s="351"/>
      <c r="H288" s="374"/>
      <c r="I288" s="329"/>
      <c r="J288" s="113"/>
      <c r="K288" s="103"/>
      <c r="L288" s="332"/>
      <c r="M288" s="335"/>
      <c r="N288" s="335"/>
      <c r="O288" s="338"/>
      <c r="P288" s="321"/>
    </row>
    <row r="289" spans="1:19" ht="24" customHeight="1">
      <c r="A289" s="339">
        <v>63</v>
      </c>
      <c r="B289" s="94" t="s">
        <v>55</v>
      </c>
      <c r="C289" s="352">
        <v>25000</v>
      </c>
      <c r="D289" s="342">
        <v>26750</v>
      </c>
      <c r="E289" s="339" t="s">
        <v>56</v>
      </c>
      <c r="F289" s="88" t="s">
        <v>459</v>
      </c>
      <c r="G289" s="89">
        <v>26750</v>
      </c>
      <c r="H289" s="369" t="s">
        <v>459</v>
      </c>
      <c r="I289" s="327">
        <v>26750</v>
      </c>
      <c r="J289" s="96"/>
      <c r="K289" s="96"/>
      <c r="L289" s="330" t="s">
        <v>58</v>
      </c>
      <c r="M289" s="333" t="s">
        <v>59</v>
      </c>
      <c r="N289" s="345"/>
      <c r="O289" s="336">
        <v>244228</v>
      </c>
      <c r="P289" s="319" t="s">
        <v>125</v>
      </c>
      <c r="S289" s="140"/>
    </row>
    <row r="290" spans="1:19" ht="24" customHeight="1">
      <c r="A290" s="340"/>
      <c r="B290" s="97" t="s">
        <v>2</v>
      </c>
      <c r="C290" s="353"/>
      <c r="D290" s="343"/>
      <c r="E290" s="340"/>
      <c r="F290" s="98" t="s">
        <v>60</v>
      </c>
      <c r="G290" s="99">
        <v>27820</v>
      </c>
      <c r="H290" s="370"/>
      <c r="I290" s="328"/>
      <c r="J290" s="98" t="s">
        <v>61</v>
      </c>
      <c r="K290" s="100" t="s">
        <v>62</v>
      </c>
      <c r="L290" s="331"/>
      <c r="M290" s="334"/>
      <c r="N290" s="346"/>
      <c r="O290" s="337"/>
      <c r="P290" s="320"/>
      <c r="S290" s="140"/>
    </row>
    <row r="291" spans="1:19" ht="24" customHeight="1">
      <c r="A291" s="340"/>
      <c r="B291" s="97" t="s">
        <v>63</v>
      </c>
      <c r="C291" s="353"/>
      <c r="D291" s="343"/>
      <c r="E291" s="340"/>
      <c r="F291" s="348" t="s">
        <v>64</v>
      </c>
      <c r="G291" s="350">
        <v>28355</v>
      </c>
      <c r="H291" s="370"/>
      <c r="I291" s="328"/>
      <c r="J291" s="98" t="s">
        <v>65</v>
      </c>
      <c r="K291" s="97" t="s">
        <v>66</v>
      </c>
      <c r="L291" s="331"/>
      <c r="M291" s="334"/>
      <c r="N291" s="346"/>
      <c r="O291" s="337"/>
      <c r="P291" s="320"/>
      <c r="S291" s="140"/>
    </row>
    <row r="292" spans="1:19" ht="24" customHeight="1">
      <c r="A292" s="341"/>
      <c r="B292" s="102"/>
      <c r="C292" s="354"/>
      <c r="D292" s="344"/>
      <c r="E292" s="341"/>
      <c r="F292" s="349"/>
      <c r="G292" s="351"/>
      <c r="H292" s="371"/>
      <c r="I292" s="329"/>
      <c r="J292" s="103"/>
      <c r="K292" s="103"/>
      <c r="L292" s="332"/>
      <c r="M292" s="335"/>
      <c r="N292" s="347"/>
      <c r="O292" s="338"/>
      <c r="P292" s="321"/>
      <c r="S292" s="140"/>
    </row>
    <row r="293" spans="1:19" ht="24" customHeight="1">
      <c r="A293" s="339">
        <v>64</v>
      </c>
      <c r="B293" s="94" t="s">
        <v>67</v>
      </c>
      <c r="C293" s="352">
        <v>467200</v>
      </c>
      <c r="D293" s="342">
        <v>498993</v>
      </c>
      <c r="E293" s="339" t="s">
        <v>56</v>
      </c>
      <c r="F293" s="366" t="s">
        <v>68</v>
      </c>
      <c r="G293" s="327">
        <v>489005</v>
      </c>
      <c r="H293" s="366" t="s">
        <v>68</v>
      </c>
      <c r="I293" s="327">
        <v>489005</v>
      </c>
      <c r="J293" s="96"/>
      <c r="K293" s="96"/>
      <c r="L293" s="330" t="s">
        <v>69</v>
      </c>
      <c r="M293" s="333" t="s">
        <v>59</v>
      </c>
      <c r="N293" s="345"/>
      <c r="O293" s="336">
        <v>244228</v>
      </c>
      <c r="P293" s="319" t="s">
        <v>125</v>
      </c>
      <c r="S293" s="140"/>
    </row>
    <row r="294" spans="1:19" ht="24" customHeight="1">
      <c r="A294" s="340"/>
      <c r="B294" s="97" t="s">
        <v>70</v>
      </c>
      <c r="C294" s="353"/>
      <c r="D294" s="343"/>
      <c r="E294" s="340"/>
      <c r="F294" s="367"/>
      <c r="G294" s="328"/>
      <c r="H294" s="367"/>
      <c r="I294" s="328"/>
      <c r="J294" s="98" t="s">
        <v>71</v>
      </c>
      <c r="K294" s="100" t="s">
        <v>72</v>
      </c>
      <c r="L294" s="331"/>
      <c r="M294" s="334"/>
      <c r="N294" s="346"/>
      <c r="O294" s="337"/>
      <c r="P294" s="320"/>
      <c r="S294" s="140"/>
    </row>
    <row r="295" spans="1:19" ht="24" customHeight="1">
      <c r="A295" s="340"/>
      <c r="B295" s="97" t="s">
        <v>73</v>
      </c>
      <c r="C295" s="353"/>
      <c r="D295" s="343"/>
      <c r="E295" s="340"/>
      <c r="F295" s="367"/>
      <c r="G295" s="328"/>
      <c r="H295" s="367"/>
      <c r="I295" s="328"/>
      <c r="J295" s="98" t="s">
        <v>65</v>
      </c>
      <c r="K295" s="97" t="s">
        <v>74</v>
      </c>
      <c r="L295" s="331"/>
      <c r="M295" s="334"/>
      <c r="N295" s="346"/>
      <c r="O295" s="337"/>
      <c r="P295" s="320"/>
      <c r="S295" s="140"/>
    </row>
    <row r="296" spans="1:19" ht="24" customHeight="1">
      <c r="A296" s="341"/>
      <c r="B296" s="102"/>
      <c r="C296" s="354"/>
      <c r="D296" s="344"/>
      <c r="E296" s="341"/>
      <c r="F296" s="368"/>
      <c r="G296" s="329"/>
      <c r="H296" s="368"/>
      <c r="I296" s="329"/>
      <c r="J296" s="103"/>
      <c r="K296" s="103"/>
      <c r="L296" s="332"/>
      <c r="M296" s="335"/>
      <c r="N296" s="347"/>
      <c r="O296" s="338"/>
      <c r="P296" s="321"/>
      <c r="S296" s="140"/>
    </row>
    <row r="297" spans="1:19" ht="24" customHeight="1">
      <c r="A297" s="339">
        <v>65</v>
      </c>
      <c r="B297" s="94" t="s">
        <v>75</v>
      </c>
      <c r="C297" s="342">
        <v>37360</v>
      </c>
      <c r="D297" s="342">
        <v>39975.199999999997</v>
      </c>
      <c r="E297" s="364" t="s">
        <v>56</v>
      </c>
      <c r="F297" s="105" t="s">
        <v>76</v>
      </c>
      <c r="G297" s="89">
        <v>39975.199999999997</v>
      </c>
      <c r="H297" s="365" t="s">
        <v>76</v>
      </c>
      <c r="I297" s="327">
        <v>39975.199999999997</v>
      </c>
      <c r="J297" s="96"/>
      <c r="K297" s="96"/>
      <c r="L297" s="330" t="s">
        <v>77</v>
      </c>
      <c r="M297" s="333" t="s">
        <v>59</v>
      </c>
      <c r="N297" s="333"/>
      <c r="O297" s="336">
        <v>244228</v>
      </c>
      <c r="P297" s="319" t="s">
        <v>125</v>
      </c>
      <c r="S297" s="140"/>
    </row>
    <row r="298" spans="1:19" ht="24" customHeight="1">
      <c r="A298" s="340"/>
      <c r="B298" s="97" t="s">
        <v>78</v>
      </c>
      <c r="C298" s="343"/>
      <c r="D298" s="343"/>
      <c r="E298" s="360"/>
      <c r="F298" s="107" t="s">
        <v>79</v>
      </c>
      <c r="G298" s="99">
        <v>42521.8</v>
      </c>
      <c r="H298" s="362"/>
      <c r="I298" s="328"/>
      <c r="J298" s="98" t="s">
        <v>61</v>
      </c>
      <c r="K298" s="100" t="s">
        <v>80</v>
      </c>
      <c r="L298" s="331"/>
      <c r="M298" s="334"/>
      <c r="N298" s="334"/>
      <c r="O298" s="337"/>
      <c r="P298" s="320"/>
      <c r="S298" s="140"/>
    </row>
    <row r="299" spans="1:19" ht="24" customHeight="1">
      <c r="A299" s="340"/>
      <c r="B299" s="97" t="s">
        <v>81</v>
      </c>
      <c r="C299" s="343"/>
      <c r="D299" s="343"/>
      <c r="E299" s="360"/>
      <c r="F299" s="348" t="s">
        <v>82</v>
      </c>
      <c r="G299" s="350">
        <v>44308.7</v>
      </c>
      <c r="H299" s="362"/>
      <c r="I299" s="328"/>
      <c r="J299" s="98" t="s">
        <v>65</v>
      </c>
      <c r="K299" s="97" t="s">
        <v>83</v>
      </c>
      <c r="L299" s="331"/>
      <c r="M299" s="334"/>
      <c r="N299" s="334"/>
      <c r="O299" s="337"/>
      <c r="P299" s="320"/>
      <c r="S299" s="140"/>
    </row>
    <row r="300" spans="1:19" ht="24" customHeight="1">
      <c r="A300" s="341"/>
      <c r="B300" s="102"/>
      <c r="C300" s="344"/>
      <c r="D300" s="344"/>
      <c r="E300" s="361"/>
      <c r="F300" s="349"/>
      <c r="G300" s="351"/>
      <c r="H300" s="363"/>
      <c r="I300" s="329"/>
      <c r="J300" s="103"/>
      <c r="K300" s="103"/>
      <c r="L300" s="332"/>
      <c r="M300" s="335"/>
      <c r="N300" s="335"/>
      <c r="O300" s="338"/>
      <c r="P300" s="321"/>
      <c r="S300" s="140"/>
    </row>
    <row r="301" spans="1:19" ht="24" customHeight="1">
      <c r="A301" s="339">
        <v>66</v>
      </c>
      <c r="B301" s="97" t="s">
        <v>84</v>
      </c>
      <c r="C301" s="343">
        <v>20720</v>
      </c>
      <c r="D301" s="343">
        <v>22170.400000000001</v>
      </c>
      <c r="E301" s="360" t="s">
        <v>56</v>
      </c>
      <c r="F301" s="105" t="s">
        <v>76</v>
      </c>
      <c r="G301" s="109">
        <v>22170.400000000001</v>
      </c>
      <c r="H301" s="362" t="s">
        <v>76</v>
      </c>
      <c r="I301" s="328">
        <v>22170.400000000001</v>
      </c>
      <c r="J301" s="98"/>
      <c r="K301" s="98"/>
      <c r="L301" s="330" t="s">
        <v>85</v>
      </c>
      <c r="M301" s="333" t="s">
        <v>59</v>
      </c>
      <c r="N301" s="333"/>
      <c r="O301" s="336">
        <v>244228</v>
      </c>
      <c r="P301" s="319" t="s">
        <v>125</v>
      </c>
      <c r="S301" s="140"/>
    </row>
    <row r="302" spans="1:19" ht="24" customHeight="1">
      <c r="A302" s="340"/>
      <c r="B302" s="97" t="s">
        <v>86</v>
      </c>
      <c r="C302" s="343"/>
      <c r="D302" s="343"/>
      <c r="E302" s="360"/>
      <c r="F302" s="107" t="s">
        <v>79</v>
      </c>
      <c r="G302" s="99">
        <v>23005</v>
      </c>
      <c r="H302" s="362"/>
      <c r="I302" s="328"/>
      <c r="J302" s="98" t="s">
        <v>61</v>
      </c>
      <c r="K302" s="100" t="s">
        <v>87</v>
      </c>
      <c r="L302" s="331"/>
      <c r="M302" s="334"/>
      <c r="N302" s="334"/>
      <c r="O302" s="337"/>
      <c r="P302" s="320"/>
      <c r="S302" s="140"/>
    </row>
    <row r="303" spans="1:19" ht="24" customHeight="1">
      <c r="A303" s="340"/>
      <c r="B303" s="97"/>
      <c r="C303" s="343"/>
      <c r="D303" s="343"/>
      <c r="E303" s="360"/>
      <c r="F303" s="348" t="s">
        <v>82</v>
      </c>
      <c r="G303" s="350">
        <v>24503</v>
      </c>
      <c r="H303" s="362"/>
      <c r="I303" s="328"/>
      <c r="J303" s="98" t="s">
        <v>65</v>
      </c>
      <c r="K303" s="97" t="s">
        <v>83</v>
      </c>
      <c r="L303" s="331"/>
      <c r="M303" s="334"/>
      <c r="N303" s="334"/>
      <c r="O303" s="337"/>
      <c r="P303" s="320"/>
      <c r="S303" s="140"/>
    </row>
    <row r="304" spans="1:19" ht="24" customHeight="1">
      <c r="A304" s="341"/>
      <c r="B304" s="97"/>
      <c r="C304" s="344"/>
      <c r="D304" s="344"/>
      <c r="E304" s="361"/>
      <c r="F304" s="349"/>
      <c r="G304" s="351"/>
      <c r="H304" s="363"/>
      <c r="I304" s="329"/>
      <c r="J304" s="98"/>
      <c r="K304" s="98"/>
      <c r="L304" s="332"/>
      <c r="M304" s="335"/>
      <c r="N304" s="335"/>
      <c r="O304" s="338"/>
      <c r="P304" s="321"/>
      <c r="S304" s="140"/>
    </row>
    <row r="305" spans="1:19" ht="24" customHeight="1">
      <c r="A305" s="339">
        <v>67</v>
      </c>
      <c r="B305" s="94" t="s">
        <v>88</v>
      </c>
      <c r="C305" s="352">
        <v>2600</v>
      </c>
      <c r="D305" s="342">
        <v>2568</v>
      </c>
      <c r="E305" s="339" t="s">
        <v>56</v>
      </c>
      <c r="F305" s="88" t="s">
        <v>89</v>
      </c>
      <c r="G305" s="89">
        <v>2568</v>
      </c>
      <c r="H305" s="355" t="s">
        <v>89</v>
      </c>
      <c r="I305" s="327">
        <v>2568</v>
      </c>
      <c r="J305" s="96"/>
      <c r="K305" s="96"/>
      <c r="L305" s="330" t="s">
        <v>90</v>
      </c>
      <c r="M305" s="333" t="s">
        <v>59</v>
      </c>
      <c r="N305" s="345"/>
      <c r="O305" s="336">
        <v>244228</v>
      </c>
      <c r="P305" s="319" t="s">
        <v>125</v>
      </c>
      <c r="S305" s="140"/>
    </row>
    <row r="306" spans="1:19" ht="24" customHeight="1">
      <c r="A306" s="340"/>
      <c r="B306" s="97" t="s">
        <v>91</v>
      </c>
      <c r="C306" s="353"/>
      <c r="D306" s="343"/>
      <c r="E306" s="340"/>
      <c r="F306" s="98" t="s">
        <v>92</v>
      </c>
      <c r="G306" s="99">
        <v>3317</v>
      </c>
      <c r="H306" s="356"/>
      <c r="I306" s="328"/>
      <c r="J306" s="98" t="s">
        <v>61</v>
      </c>
      <c r="K306" s="100" t="s">
        <v>93</v>
      </c>
      <c r="L306" s="331"/>
      <c r="M306" s="334"/>
      <c r="N306" s="346"/>
      <c r="O306" s="337"/>
      <c r="P306" s="320"/>
      <c r="S306" s="140"/>
    </row>
    <row r="307" spans="1:19" ht="24" customHeight="1">
      <c r="A307" s="340"/>
      <c r="B307" s="97"/>
      <c r="C307" s="353"/>
      <c r="D307" s="343"/>
      <c r="E307" s="340"/>
      <c r="F307" s="348" t="s">
        <v>94</v>
      </c>
      <c r="G307" s="358" t="s">
        <v>95</v>
      </c>
      <c r="H307" s="356"/>
      <c r="I307" s="328"/>
      <c r="J307" s="98" t="s">
        <v>65</v>
      </c>
      <c r="K307" s="97" t="s">
        <v>96</v>
      </c>
      <c r="L307" s="331"/>
      <c r="M307" s="334"/>
      <c r="N307" s="346"/>
      <c r="O307" s="337"/>
      <c r="P307" s="320"/>
      <c r="S307" s="140"/>
    </row>
    <row r="308" spans="1:19" ht="24" customHeight="1">
      <c r="A308" s="341"/>
      <c r="B308" s="102"/>
      <c r="C308" s="354"/>
      <c r="D308" s="344"/>
      <c r="E308" s="341"/>
      <c r="F308" s="349"/>
      <c r="G308" s="359"/>
      <c r="H308" s="357"/>
      <c r="I308" s="329"/>
      <c r="J308" s="103"/>
      <c r="K308" s="103"/>
      <c r="L308" s="332"/>
      <c r="M308" s="335"/>
      <c r="N308" s="347"/>
      <c r="O308" s="338"/>
      <c r="P308" s="321"/>
      <c r="S308" s="140"/>
    </row>
    <row r="309" spans="1:19" ht="24" customHeight="1">
      <c r="A309" s="339">
        <v>68</v>
      </c>
      <c r="B309" s="94" t="s">
        <v>97</v>
      </c>
      <c r="C309" s="352">
        <v>24000</v>
      </c>
      <c r="D309" s="342">
        <v>25680</v>
      </c>
      <c r="E309" s="339" t="s">
        <v>56</v>
      </c>
      <c r="F309" s="105" t="s">
        <v>76</v>
      </c>
      <c r="G309" s="89">
        <v>25680</v>
      </c>
      <c r="H309" s="355" t="s">
        <v>76</v>
      </c>
      <c r="I309" s="327">
        <v>25680</v>
      </c>
      <c r="J309" s="96"/>
      <c r="K309" s="96"/>
      <c r="L309" s="330" t="s">
        <v>98</v>
      </c>
      <c r="M309" s="333" t="s">
        <v>59</v>
      </c>
      <c r="N309" s="345"/>
      <c r="O309" s="336">
        <v>244228</v>
      </c>
      <c r="P309" s="319" t="s">
        <v>125</v>
      </c>
      <c r="S309" s="140"/>
    </row>
    <row r="310" spans="1:19" ht="24" customHeight="1">
      <c r="A310" s="340"/>
      <c r="B310" s="97" t="s">
        <v>99</v>
      </c>
      <c r="C310" s="353"/>
      <c r="D310" s="343"/>
      <c r="E310" s="340"/>
      <c r="F310" s="107" t="s">
        <v>79</v>
      </c>
      <c r="G310" s="99">
        <v>27820</v>
      </c>
      <c r="H310" s="356"/>
      <c r="I310" s="328"/>
      <c r="J310" s="98" t="s">
        <v>61</v>
      </c>
      <c r="K310" s="100" t="s">
        <v>100</v>
      </c>
      <c r="L310" s="331"/>
      <c r="M310" s="334"/>
      <c r="N310" s="346"/>
      <c r="O310" s="337"/>
      <c r="P310" s="320"/>
      <c r="S310" s="140"/>
    </row>
    <row r="311" spans="1:19" ht="24" customHeight="1">
      <c r="A311" s="340"/>
      <c r="B311" s="97"/>
      <c r="C311" s="353"/>
      <c r="D311" s="343"/>
      <c r="E311" s="340"/>
      <c r="F311" s="348" t="s">
        <v>82</v>
      </c>
      <c r="G311" s="350">
        <v>31565</v>
      </c>
      <c r="H311" s="356"/>
      <c r="I311" s="328"/>
      <c r="J311" s="98" t="s">
        <v>65</v>
      </c>
      <c r="K311" s="97" t="s">
        <v>101</v>
      </c>
      <c r="L311" s="331"/>
      <c r="M311" s="334"/>
      <c r="N311" s="346"/>
      <c r="O311" s="337"/>
      <c r="P311" s="320"/>
      <c r="S311" s="140"/>
    </row>
    <row r="312" spans="1:19" ht="24" customHeight="1">
      <c r="A312" s="341"/>
      <c r="B312" s="102"/>
      <c r="C312" s="354"/>
      <c r="D312" s="344"/>
      <c r="E312" s="341"/>
      <c r="F312" s="349"/>
      <c r="G312" s="351"/>
      <c r="H312" s="357"/>
      <c r="I312" s="329"/>
      <c r="J312" s="103"/>
      <c r="K312" s="103"/>
      <c r="L312" s="332"/>
      <c r="M312" s="335"/>
      <c r="N312" s="347"/>
      <c r="O312" s="338"/>
      <c r="P312" s="321"/>
      <c r="S312" s="140"/>
    </row>
    <row r="313" spans="1:19" ht="24" customHeight="1">
      <c r="A313" s="339">
        <v>69</v>
      </c>
      <c r="B313" s="97" t="s">
        <v>102</v>
      </c>
      <c r="C313" s="342">
        <v>130000</v>
      </c>
      <c r="D313" s="342">
        <v>137879</v>
      </c>
      <c r="E313" s="339" t="s">
        <v>56</v>
      </c>
      <c r="F313" s="324" t="s">
        <v>103</v>
      </c>
      <c r="G313" s="327">
        <v>135109</v>
      </c>
      <c r="H313" s="324" t="s">
        <v>103</v>
      </c>
      <c r="I313" s="327">
        <v>135109</v>
      </c>
      <c r="J313" s="111"/>
      <c r="K313" s="96"/>
      <c r="L313" s="330" t="s">
        <v>104</v>
      </c>
      <c r="M313" s="333" t="s">
        <v>59</v>
      </c>
      <c r="N313" s="333"/>
      <c r="O313" s="336">
        <v>244228</v>
      </c>
      <c r="P313" s="319" t="s">
        <v>125</v>
      </c>
      <c r="S313" s="140"/>
    </row>
    <row r="314" spans="1:19" ht="24" customHeight="1">
      <c r="A314" s="340"/>
      <c r="B314" s="97" t="s">
        <v>105</v>
      </c>
      <c r="C314" s="343"/>
      <c r="D314" s="343"/>
      <c r="E314" s="340"/>
      <c r="F314" s="325"/>
      <c r="G314" s="328"/>
      <c r="H314" s="325"/>
      <c r="I314" s="328"/>
      <c r="J314" s="98" t="s">
        <v>71</v>
      </c>
      <c r="K314" s="100" t="s">
        <v>106</v>
      </c>
      <c r="L314" s="331"/>
      <c r="M314" s="334"/>
      <c r="N314" s="334"/>
      <c r="O314" s="337"/>
      <c r="P314" s="320"/>
      <c r="S314" s="140"/>
    </row>
    <row r="315" spans="1:19" ht="24" customHeight="1">
      <c r="A315" s="340"/>
      <c r="B315" s="97" t="s">
        <v>107</v>
      </c>
      <c r="C315" s="343"/>
      <c r="D315" s="343"/>
      <c r="E315" s="340"/>
      <c r="F315" s="325"/>
      <c r="G315" s="328"/>
      <c r="H315" s="325"/>
      <c r="I315" s="328"/>
      <c r="J315" s="98" t="s">
        <v>65</v>
      </c>
      <c r="K315" s="97" t="s">
        <v>108</v>
      </c>
      <c r="L315" s="331"/>
      <c r="M315" s="334"/>
      <c r="N315" s="334"/>
      <c r="O315" s="337"/>
      <c r="P315" s="320"/>
      <c r="S315" s="140"/>
    </row>
    <row r="316" spans="1:19" ht="24" customHeight="1">
      <c r="A316" s="341"/>
      <c r="B316" s="112"/>
      <c r="C316" s="344"/>
      <c r="D316" s="344"/>
      <c r="E316" s="341"/>
      <c r="F316" s="326"/>
      <c r="G316" s="329"/>
      <c r="H316" s="326"/>
      <c r="I316" s="329"/>
      <c r="J316" s="113"/>
      <c r="K316" s="103"/>
      <c r="L316" s="332"/>
      <c r="M316" s="335"/>
      <c r="N316" s="335"/>
      <c r="O316" s="338"/>
      <c r="P316" s="321"/>
      <c r="S316" s="140"/>
    </row>
    <row r="317" spans="1:19" ht="24" customHeight="1">
      <c r="A317" s="114"/>
      <c r="B317" s="322" t="s">
        <v>460</v>
      </c>
      <c r="C317" s="322"/>
      <c r="D317" s="322"/>
      <c r="E317" s="322"/>
      <c r="F317" s="322"/>
      <c r="G317" s="322"/>
      <c r="H317" s="323"/>
      <c r="I317" s="115">
        <f>SUM(I8:I316)</f>
        <v>74493599.610000029</v>
      </c>
      <c r="J317" s="116"/>
      <c r="K317" s="117"/>
      <c r="L317" s="159"/>
      <c r="M317" s="160"/>
      <c r="N317" s="161"/>
      <c r="O317" s="162"/>
      <c r="P317" s="163"/>
      <c r="S317" s="140">
        <f>SUM(S68)</f>
        <v>74493599.609999999</v>
      </c>
    </row>
    <row r="318" spans="1:19" ht="24" customHeight="1">
      <c r="A318" s="164"/>
      <c r="B318" s="165"/>
      <c r="C318" s="165"/>
      <c r="D318" s="165"/>
      <c r="E318" s="165"/>
      <c r="F318" s="165"/>
      <c r="G318" s="165"/>
      <c r="H318" s="165"/>
      <c r="I318" s="166"/>
      <c r="J318" s="167"/>
      <c r="K318" s="168"/>
      <c r="L318" s="169"/>
      <c r="M318" s="170"/>
      <c r="N318" s="83"/>
      <c r="O318" s="171"/>
      <c r="P318" s="172"/>
      <c r="S318" s="140"/>
    </row>
    <row r="319" spans="1:19" ht="24" customHeight="1">
      <c r="A319" s="164"/>
      <c r="B319" s="165"/>
      <c r="C319" s="165"/>
      <c r="D319" s="165"/>
      <c r="E319" s="165"/>
      <c r="F319" s="165"/>
      <c r="G319" s="165"/>
      <c r="H319" s="165"/>
      <c r="I319" s="166"/>
      <c r="J319" s="167"/>
      <c r="K319" s="168"/>
      <c r="L319" s="169"/>
      <c r="M319" s="170"/>
      <c r="N319" s="83"/>
      <c r="O319" s="171"/>
      <c r="P319" s="172"/>
      <c r="S319" s="140"/>
    </row>
    <row r="320" spans="1:19" ht="24" customHeight="1">
      <c r="A320" s="164"/>
      <c r="B320" s="165"/>
      <c r="C320" s="165"/>
      <c r="D320" s="165"/>
      <c r="E320" s="165"/>
      <c r="F320" s="165"/>
      <c r="G320" s="165"/>
      <c r="H320" s="165"/>
      <c r="I320" s="166"/>
      <c r="J320" s="167"/>
      <c r="K320" s="168"/>
      <c r="L320" s="169"/>
      <c r="M320" s="170"/>
      <c r="N320" s="83"/>
      <c r="O320" s="171"/>
      <c r="P320" s="172"/>
      <c r="S320" s="140"/>
    </row>
    <row r="321" spans="1:19" ht="24" customHeight="1">
      <c r="A321" s="164"/>
      <c r="B321" s="165"/>
      <c r="C321" s="165"/>
      <c r="D321" s="165"/>
      <c r="E321" s="165"/>
      <c r="F321" s="165"/>
      <c r="G321" s="165"/>
      <c r="H321" s="165"/>
      <c r="I321" s="166"/>
      <c r="J321" s="167"/>
      <c r="K321" s="168"/>
      <c r="L321" s="169"/>
      <c r="M321" s="170"/>
      <c r="N321" s="83"/>
      <c r="O321" s="171"/>
      <c r="P321" s="172"/>
      <c r="S321" s="140"/>
    </row>
    <row r="322" spans="1:19" ht="24" customHeight="1">
      <c r="A322" s="164"/>
      <c r="B322" s="165"/>
      <c r="C322" s="165"/>
      <c r="D322" s="165"/>
      <c r="E322" s="165"/>
      <c r="F322" s="165"/>
      <c r="G322" s="165"/>
      <c r="H322" s="165"/>
      <c r="I322" s="166"/>
      <c r="J322" s="167"/>
      <c r="K322" s="168"/>
      <c r="L322" s="169"/>
      <c r="M322" s="170"/>
      <c r="N322" s="83"/>
      <c r="O322" s="171"/>
      <c r="P322" s="172"/>
      <c r="S322" s="140"/>
    </row>
    <row r="323" spans="1:19" ht="24" customHeight="1">
      <c r="A323" s="164"/>
      <c r="B323" s="165"/>
      <c r="C323" s="165"/>
      <c r="D323" s="165"/>
      <c r="E323" s="165"/>
      <c r="F323" s="165"/>
      <c r="G323" s="165"/>
      <c r="H323" s="165"/>
      <c r="I323" s="166"/>
      <c r="J323" s="167"/>
      <c r="K323" s="168"/>
      <c r="L323" s="169"/>
      <c r="M323" s="170"/>
      <c r="N323" s="83"/>
      <c r="O323" s="171"/>
      <c r="P323" s="172"/>
      <c r="S323" s="140"/>
    </row>
    <row r="324" spans="1:19" ht="24" customHeight="1">
      <c r="A324" s="164"/>
      <c r="B324" s="165"/>
      <c r="C324" s="165"/>
      <c r="D324" s="165"/>
      <c r="E324" s="165"/>
      <c r="F324" s="165"/>
      <c r="G324" s="165"/>
      <c r="H324" s="165"/>
      <c r="I324" s="166"/>
      <c r="J324" s="167"/>
      <c r="K324" s="168"/>
      <c r="L324" s="169"/>
      <c r="M324" s="170"/>
      <c r="N324" s="83"/>
      <c r="O324" s="171"/>
      <c r="P324" s="172"/>
      <c r="S324" s="140"/>
    </row>
    <row r="325" spans="1:19" ht="24" customHeight="1">
      <c r="A325" s="164"/>
      <c r="B325" s="165"/>
      <c r="C325" s="165"/>
      <c r="D325" s="165"/>
      <c r="E325" s="165"/>
      <c r="F325" s="165"/>
      <c r="G325" s="165"/>
      <c r="H325" s="165"/>
      <c r="I325" s="166"/>
      <c r="J325" s="167"/>
      <c r="K325" s="168"/>
      <c r="L325" s="169"/>
      <c r="M325" s="170"/>
      <c r="N325" s="83"/>
      <c r="O325" s="171"/>
      <c r="P325" s="172"/>
      <c r="S325" s="140"/>
    </row>
    <row r="326" spans="1:19" ht="24" customHeight="1">
      <c r="A326" s="164"/>
      <c r="B326" s="165"/>
      <c r="C326" s="165"/>
      <c r="D326" s="165"/>
      <c r="E326" s="165"/>
      <c r="F326" s="165"/>
      <c r="G326" s="165"/>
      <c r="H326" s="165"/>
      <c r="I326" s="166"/>
      <c r="J326" s="167"/>
      <c r="K326" s="168"/>
      <c r="L326" s="169"/>
      <c r="M326" s="170"/>
      <c r="N326" s="83"/>
      <c r="O326" s="171"/>
      <c r="P326" s="172"/>
      <c r="S326" s="140"/>
    </row>
    <row r="327" spans="1:19" ht="24" customHeight="1">
      <c r="A327" s="164"/>
      <c r="B327" s="165"/>
      <c r="C327" s="165"/>
      <c r="D327" s="165"/>
      <c r="E327" s="165"/>
      <c r="F327" s="165"/>
      <c r="G327" s="165"/>
      <c r="H327" s="165"/>
      <c r="I327" s="166"/>
      <c r="J327" s="167"/>
      <c r="K327" s="168"/>
      <c r="L327" s="169"/>
      <c r="M327" s="170"/>
      <c r="N327" s="83"/>
      <c r="O327" s="171"/>
      <c r="P327" s="172"/>
      <c r="S327" s="140"/>
    </row>
    <row r="328" spans="1:19" ht="24" customHeight="1">
      <c r="A328" s="164"/>
      <c r="B328" s="165"/>
      <c r="C328" s="165"/>
      <c r="D328" s="165"/>
      <c r="E328" s="165"/>
      <c r="F328" s="165"/>
      <c r="G328" s="165"/>
      <c r="H328" s="165"/>
      <c r="I328" s="166"/>
      <c r="J328" s="167"/>
      <c r="K328" s="168"/>
      <c r="L328" s="169"/>
      <c r="M328" s="170"/>
      <c r="N328" s="83"/>
      <c r="O328" s="171"/>
      <c r="P328" s="172"/>
      <c r="S328" s="140"/>
    </row>
    <row r="329" spans="1:19" ht="24" customHeight="1">
      <c r="A329" s="164"/>
      <c r="B329" s="165"/>
      <c r="C329" s="165"/>
      <c r="D329" s="165"/>
      <c r="E329" s="165"/>
      <c r="F329" s="165"/>
      <c r="G329" s="165"/>
      <c r="H329" s="165"/>
      <c r="I329" s="166"/>
      <c r="J329" s="167"/>
      <c r="K329" s="168"/>
      <c r="L329" s="169"/>
      <c r="M329" s="170"/>
      <c r="N329" s="83"/>
      <c r="O329" s="171"/>
      <c r="P329" s="172"/>
      <c r="S329" s="140"/>
    </row>
    <row r="330" spans="1:19" ht="24" customHeight="1">
      <c r="A330" s="164"/>
      <c r="B330" s="165"/>
      <c r="C330" s="165"/>
      <c r="D330" s="165"/>
      <c r="E330" s="165"/>
      <c r="F330" s="165"/>
      <c r="G330" s="165"/>
      <c r="H330" s="165"/>
      <c r="I330" s="166"/>
      <c r="J330" s="167"/>
      <c r="K330" s="168"/>
      <c r="L330" s="169"/>
      <c r="M330" s="170"/>
      <c r="N330" s="83"/>
      <c r="O330" s="171"/>
      <c r="P330" s="172"/>
      <c r="S330" s="140"/>
    </row>
    <row r="331" spans="1:19" ht="24" customHeight="1">
      <c r="A331" s="164"/>
      <c r="B331" s="165"/>
      <c r="C331" s="165"/>
      <c r="D331" s="165"/>
      <c r="E331" s="165"/>
      <c r="F331" s="165"/>
      <c r="G331" s="165"/>
      <c r="H331" s="165"/>
      <c r="I331" s="166"/>
      <c r="J331" s="167"/>
      <c r="K331" s="168"/>
      <c r="L331" s="169"/>
      <c r="M331" s="170"/>
      <c r="N331" s="83"/>
      <c r="O331" s="171"/>
      <c r="P331" s="172"/>
      <c r="S331" s="140"/>
    </row>
    <row r="332" spans="1:19" ht="24" customHeight="1">
      <c r="A332" s="164"/>
      <c r="B332" s="165"/>
      <c r="C332" s="165"/>
      <c r="D332" s="165"/>
      <c r="E332" s="165"/>
      <c r="F332" s="165"/>
      <c r="G332" s="165"/>
      <c r="H332" s="165"/>
      <c r="I332" s="166"/>
      <c r="J332" s="167"/>
      <c r="K332" s="168"/>
      <c r="L332" s="169"/>
      <c r="M332" s="170"/>
      <c r="N332" s="83"/>
      <c r="O332" s="171"/>
      <c r="P332" s="172"/>
      <c r="S332" s="140"/>
    </row>
    <row r="333" spans="1:19" ht="24" customHeight="1">
      <c r="A333" s="164"/>
      <c r="B333" s="165"/>
      <c r="C333" s="165"/>
      <c r="D333" s="165"/>
      <c r="E333" s="165"/>
      <c r="F333" s="165"/>
      <c r="G333" s="165"/>
      <c r="H333" s="165"/>
      <c r="I333" s="166"/>
      <c r="J333" s="167"/>
      <c r="K333" s="168"/>
      <c r="L333" s="169"/>
      <c r="M333" s="170"/>
      <c r="N333" s="83"/>
      <c r="O333" s="171"/>
      <c r="P333" s="172"/>
      <c r="S333" s="140"/>
    </row>
    <row r="334" spans="1:19" ht="24" customHeight="1">
      <c r="A334" s="164"/>
      <c r="B334" s="165"/>
      <c r="C334" s="165"/>
      <c r="D334" s="165"/>
      <c r="E334" s="165"/>
      <c r="F334" s="165"/>
      <c r="G334" s="165"/>
      <c r="H334" s="165"/>
      <c r="I334" s="166"/>
      <c r="J334" s="167"/>
      <c r="K334" s="168"/>
      <c r="L334" s="169"/>
      <c r="M334" s="170"/>
      <c r="N334" s="83"/>
      <c r="O334" s="171"/>
      <c r="P334" s="172"/>
      <c r="S334" s="140"/>
    </row>
    <row r="335" spans="1:19" ht="24" customHeight="1">
      <c r="A335" s="164"/>
      <c r="B335" s="165"/>
      <c r="C335" s="165"/>
      <c r="D335" s="165"/>
      <c r="E335" s="165"/>
      <c r="F335" s="165"/>
      <c r="G335" s="165"/>
      <c r="H335" s="165"/>
      <c r="I335" s="166"/>
      <c r="J335" s="167"/>
      <c r="K335" s="168"/>
      <c r="L335" s="169"/>
      <c r="M335" s="170"/>
      <c r="N335" s="83"/>
      <c r="O335" s="171"/>
      <c r="P335" s="172"/>
      <c r="S335" s="140"/>
    </row>
    <row r="336" spans="1:19" ht="24" customHeight="1">
      <c r="A336" s="164"/>
      <c r="B336" s="165"/>
      <c r="C336" s="165"/>
      <c r="D336" s="165"/>
      <c r="E336" s="165"/>
      <c r="F336" s="165"/>
      <c r="G336" s="165"/>
      <c r="H336" s="165"/>
      <c r="I336" s="166"/>
      <c r="J336" s="167"/>
      <c r="K336" s="168"/>
      <c r="L336" s="169"/>
      <c r="M336" s="170"/>
      <c r="N336" s="83"/>
      <c r="O336" s="171"/>
      <c r="P336" s="172"/>
      <c r="S336" s="140"/>
    </row>
    <row r="337" spans="1:19" ht="24" customHeight="1">
      <c r="A337" s="164"/>
      <c r="B337" s="165"/>
      <c r="C337" s="165"/>
      <c r="D337" s="165"/>
      <c r="E337" s="165"/>
      <c r="F337" s="165"/>
      <c r="G337" s="165"/>
      <c r="H337" s="165"/>
      <c r="I337" s="166"/>
      <c r="J337" s="167"/>
      <c r="K337" s="168"/>
      <c r="L337" s="169"/>
      <c r="M337" s="170"/>
      <c r="N337" s="83"/>
      <c r="O337" s="171"/>
      <c r="P337" s="172"/>
      <c r="S337" s="140"/>
    </row>
    <row r="338" spans="1:19" ht="24" customHeight="1">
      <c r="A338" s="164"/>
      <c r="B338" s="165"/>
      <c r="C338" s="165"/>
      <c r="D338" s="165"/>
      <c r="E338" s="165"/>
      <c r="F338" s="165"/>
      <c r="G338" s="165"/>
      <c r="H338" s="165"/>
      <c r="I338" s="166"/>
      <c r="J338" s="167"/>
      <c r="K338" s="168"/>
      <c r="L338" s="169"/>
      <c r="M338" s="170"/>
      <c r="N338" s="83"/>
      <c r="O338" s="171"/>
      <c r="P338" s="172"/>
      <c r="S338" s="140"/>
    </row>
    <row r="339" spans="1:19" ht="24" customHeight="1">
      <c r="A339" s="164"/>
      <c r="B339" s="165"/>
      <c r="C339" s="165"/>
      <c r="D339" s="165"/>
      <c r="E339" s="165"/>
      <c r="F339" s="165"/>
      <c r="G339" s="165"/>
      <c r="H339" s="165"/>
      <c r="I339" s="166"/>
      <c r="J339" s="167"/>
      <c r="K339" s="168"/>
      <c r="L339" s="169"/>
      <c r="M339" s="170"/>
      <c r="N339" s="83"/>
      <c r="O339" s="171"/>
      <c r="P339" s="172"/>
      <c r="S339" s="140"/>
    </row>
    <row r="340" spans="1:19" ht="24" customHeight="1">
      <c r="A340" s="164"/>
      <c r="B340" s="165"/>
      <c r="C340" s="165"/>
      <c r="D340" s="165"/>
      <c r="E340" s="165"/>
      <c r="F340" s="165"/>
      <c r="G340" s="165"/>
      <c r="H340" s="165"/>
      <c r="I340" s="166"/>
      <c r="J340" s="167"/>
      <c r="K340" s="168"/>
      <c r="L340" s="169"/>
      <c r="M340" s="170"/>
      <c r="N340" s="83"/>
      <c r="O340" s="171"/>
      <c r="P340" s="172"/>
      <c r="S340" s="140"/>
    </row>
    <row r="341" spans="1:19" ht="24" customHeight="1">
      <c r="A341" s="164"/>
      <c r="B341" s="165"/>
      <c r="C341" s="165"/>
      <c r="D341" s="165"/>
      <c r="E341" s="165"/>
      <c r="F341" s="165"/>
      <c r="G341" s="165"/>
      <c r="H341" s="165"/>
      <c r="I341" s="166"/>
      <c r="J341" s="167"/>
      <c r="K341" s="168"/>
      <c r="L341" s="169"/>
      <c r="M341" s="170"/>
      <c r="N341" s="83"/>
      <c r="O341" s="171"/>
      <c r="P341" s="172"/>
      <c r="S341" s="140"/>
    </row>
    <row r="342" spans="1:19" ht="24" customHeight="1">
      <c r="A342" s="164"/>
      <c r="B342" s="165"/>
      <c r="C342" s="165"/>
      <c r="D342" s="165"/>
      <c r="E342" s="165"/>
      <c r="F342" s="165"/>
      <c r="G342" s="165"/>
      <c r="H342" s="165"/>
      <c r="I342" s="166"/>
      <c r="J342" s="167"/>
      <c r="K342" s="168"/>
      <c r="L342" s="169"/>
      <c r="M342" s="170"/>
      <c r="N342" s="83"/>
      <c r="O342" s="171"/>
      <c r="P342" s="172"/>
      <c r="S342" s="140"/>
    </row>
    <row r="343" spans="1:19" ht="24" customHeight="1">
      <c r="A343" s="164"/>
      <c r="B343" s="165"/>
      <c r="C343" s="165"/>
      <c r="D343" s="165"/>
      <c r="E343" s="165"/>
      <c r="F343" s="165"/>
      <c r="G343" s="165"/>
      <c r="H343" s="165"/>
      <c r="I343" s="166"/>
      <c r="J343" s="167"/>
      <c r="K343" s="168"/>
      <c r="L343" s="169"/>
      <c r="M343" s="170"/>
      <c r="N343" s="83"/>
      <c r="O343" s="171"/>
      <c r="P343" s="172"/>
      <c r="S343" s="140"/>
    </row>
    <row r="344" spans="1:19" ht="24" customHeight="1">
      <c r="A344" s="164"/>
      <c r="B344" s="165"/>
      <c r="C344" s="165"/>
      <c r="D344" s="165"/>
      <c r="E344" s="165"/>
      <c r="F344" s="165"/>
      <c r="G344" s="165"/>
      <c r="H344" s="165"/>
      <c r="I344" s="166"/>
      <c r="J344" s="167"/>
      <c r="K344" s="168"/>
      <c r="L344" s="169"/>
      <c r="M344" s="170"/>
      <c r="N344" s="83"/>
      <c r="O344" s="171"/>
      <c r="P344" s="172"/>
      <c r="S344" s="140"/>
    </row>
    <row r="345" spans="1:19" ht="24" customHeight="1">
      <c r="A345" s="164"/>
      <c r="B345" s="165"/>
      <c r="C345" s="165"/>
      <c r="D345" s="165"/>
      <c r="E345" s="165"/>
      <c r="F345" s="165"/>
      <c r="G345" s="165"/>
      <c r="H345" s="165"/>
      <c r="I345" s="166"/>
      <c r="J345" s="167"/>
      <c r="K345" s="168"/>
      <c r="L345" s="169"/>
      <c r="M345" s="170"/>
      <c r="N345" s="83"/>
      <c r="O345" s="171"/>
      <c r="P345" s="172"/>
      <c r="S345" s="140"/>
    </row>
    <row r="346" spans="1:19" ht="24" customHeight="1">
      <c r="A346" s="164"/>
      <c r="B346" s="165"/>
      <c r="C346" s="165"/>
      <c r="D346" s="165"/>
      <c r="E346" s="165"/>
      <c r="F346" s="165"/>
      <c r="G346" s="165"/>
      <c r="H346" s="165"/>
      <c r="I346" s="166"/>
      <c r="J346" s="167"/>
      <c r="K346" s="168"/>
      <c r="L346" s="169"/>
      <c r="M346" s="170"/>
      <c r="N346" s="83"/>
      <c r="O346" s="171"/>
      <c r="P346" s="172"/>
      <c r="S346" s="140"/>
    </row>
    <row r="347" spans="1:19" ht="24" customHeight="1">
      <c r="A347" s="164"/>
      <c r="B347" s="165"/>
      <c r="C347" s="165"/>
      <c r="D347" s="165"/>
      <c r="E347" s="165"/>
      <c r="F347" s="165"/>
      <c r="G347" s="165"/>
      <c r="H347" s="165"/>
      <c r="I347" s="166"/>
      <c r="J347" s="167"/>
      <c r="K347" s="168"/>
      <c r="L347" s="169"/>
      <c r="M347" s="170"/>
      <c r="N347" s="83"/>
      <c r="O347" s="171"/>
      <c r="P347" s="172"/>
      <c r="S347" s="140"/>
    </row>
    <row r="348" spans="1:19" ht="24" customHeight="1">
      <c r="A348" s="164"/>
      <c r="B348" s="165"/>
      <c r="C348" s="165"/>
      <c r="D348" s="165"/>
      <c r="E348" s="165"/>
      <c r="F348" s="165"/>
      <c r="G348" s="165"/>
      <c r="H348" s="165"/>
      <c r="I348" s="166"/>
      <c r="J348" s="167"/>
      <c r="K348" s="168"/>
      <c r="L348" s="169"/>
      <c r="M348" s="170"/>
      <c r="N348" s="83"/>
      <c r="O348" s="171"/>
      <c r="P348" s="172"/>
      <c r="S348" s="140"/>
    </row>
    <row r="349" spans="1:19" ht="24" customHeight="1">
      <c r="A349" s="164"/>
      <c r="B349" s="165"/>
      <c r="C349" s="165"/>
      <c r="D349" s="165"/>
      <c r="E349" s="165"/>
      <c r="F349" s="165"/>
      <c r="G349" s="165"/>
      <c r="H349" s="165"/>
      <c r="I349" s="166"/>
      <c r="J349" s="167"/>
      <c r="K349" s="168"/>
      <c r="L349" s="169"/>
      <c r="M349" s="170"/>
      <c r="N349" s="83"/>
      <c r="O349" s="171"/>
      <c r="P349" s="172"/>
      <c r="S349" s="140"/>
    </row>
    <row r="350" spans="1:19" ht="24" customHeight="1">
      <c r="A350" s="164"/>
      <c r="B350" s="165"/>
      <c r="C350" s="165"/>
      <c r="D350" s="165"/>
      <c r="E350" s="165"/>
      <c r="F350" s="165"/>
      <c r="G350" s="165"/>
      <c r="H350" s="165"/>
      <c r="I350" s="166"/>
      <c r="J350" s="167"/>
      <c r="K350" s="168"/>
      <c r="L350" s="169"/>
      <c r="M350" s="170"/>
      <c r="N350" s="83"/>
      <c r="O350" s="171"/>
      <c r="P350" s="172"/>
      <c r="S350" s="140"/>
    </row>
    <row r="351" spans="1:19" ht="24" customHeight="1">
      <c r="A351" s="164"/>
      <c r="B351" s="165"/>
      <c r="C351" s="165"/>
      <c r="D351" s="165"/>
      <c r="E351" s="165"/>
      <c r="F351" s="165"/>
      <c r="G351" s="165"/>
      <c r="H351" s="165"/>
      <c r="I351" s="166"/>
      <c r="J351" s="167"/>
      <c r="K351" s="168"/>
      <c r="L351" s="169"/>
      <c r="M351" s="170"/>
      <c r="N351" s="83"/>
      <c r="O351" s="171"/>
      <c r="P351" s="172"/>
      <c r="S351" s="140"/>
    </row>
    <row r="352" spans="1:19" ht="24" customHeight="1">
      <c r="A352" s="164"/>
      <c r="B352" s="165"/>
      <c r="C352" s="165"/>
      <c r="D352" s="165"/>
      <c r="E352" s="165"/>
      <c r="F352" s="165"/>
      <c r="G352" s="165"/>
      <c r="H352" s="165"/>
      <c r="I352" s="166"/>
      <c r="J352" s="167"/>
      <c r="K352" s="168"/>
      <c r="L352" s="169"/>
      <c r="M352" s="170"/>
      <c r="N352" s="83"/>
      <c r="O352" s="171"/>
      <c r="P352" s="172"/>
      <c r="S352" s="140"/>
    </row>
    <row r="353" spans="1:19" ht="24" customHeight="1">
      <c r="A353" s="164"/>
      <c r="B353" s="165"/>
      <c r="C353" s="165"/>
      <c r="D353" s="165"/>
      <c r="E353" s="165"/>
      <c r="F353" s="165"/>
      <c r="G353" s="165"/>
      <c r="H353" s="165"/>
      <c r="I353" s="166"/>
      <c r="J353" s="167"/>
      <c r="K353" s="168"/>
      <c r="L353" s="169"/>
      <c r="M353" s="170"/>
      <c r="N353" s="83"/>
      <c r="O353" s="171"/>
      <c r="P353" s="172"/>
      <c r="S353" s="140"/>
    </row>
    <row r="354" spans="1:19" ht="24" customHeight="1">
      <c r="A354" s="164"/>
      <c r="B354" s="165"/>
      <c r="C354" s="165"/>
      <c r="D354" s="165"/>
      <c r="E354" s="165"/>
      <c r="F354" s="165"/>
      <c r="G354" s="165"/>
      <c r="H354" s="165"/>
      <c r="I354" s="166"/>
      <c r="J354" s="167"/>
      <c r="K354" s="168"/>
      <c r="L354" s="169"/>
      <c r="M354" s="170"/>
      <c r="N354" s="83"/>
      <c r="O354" s="171"/>
      <c r="P354" s="172"/>
      <c r="S354" s="140"/>
    </row>
    <row r="355" spans="1:19" ht="24" customHeight="1">
      <c r="A355" s="164"/>
      <c r="B355" s="165"/>
      <c r="C355" s="165"/>
      <c r="D355" s="165"/>
      <c r="E355" s="165"/>
      <c r="F355" s="165"/>
      <c r="G355" s="165"/>
      <c r="H355" s="165"/>
      <c r="I355" s="166"/>
      <c r="J355" s="167"/>
      <c r="K355" s="168"/>
      <c r="L355" s="169"/>
      <c r="M355" s="170"/>
      <c r="N355" s="83"/>
      <c r="O355" s="171"/>
      <c r="P355" s="172"/>
      <c r="S355" s="140"/>
    </row>
    <row r="356" spans="1:19" ht="24" customHeight="1">
      <c r="A356" s="164"/>
      <c r="B356" s="165"/>
      <c r="C356" s="165"/>
      <c r="D356" s="165"/>
      <c r="E356" s="165"/>
      <c r="F356" s="165"/>
      <c r="G356" s="165"/>
      <c r="H356" s="165"/>
      <c r="I356" s="166"/>
      <c r="J356" s="167"/>
      <c r="K356" s="168"/>
      <c r="L356" s="169"/>
      <c r="M356" s="170"/>
      <c r="N356" s="83"/>
      <c r="O356" s="171"/>
      <c r="P356" s="172"/>
      <c r="S356" s="140"/>
    </row>
    <row r="357" spans="1:19" ht="24" customHeight="1">
      <c r="A357" s="164"/>
      <c r="B357" s="165"/>
      <c r="C357" s="165"/>
      <c r="D357" s="165"/>
      <c r="E357" s="165"/>
      <c r="F357" s="165"/>
      <c r="G357" s="165"/>
      <c r="H357" s="165"/>
      <c r="I357" s="166"/>
      <c r="J357" s="167"/>
      <c r="K357" s="168"/>
      <c r="L357" s="169"/>
      <c r="M357" s="170"/>
      <c r="N357" s="83"/>
      <c r="O357" s="171"/>
      <c r="P357" s="172"/>
      <c r="S357" s="140"/>
    </row>
    <row r="358" spans="1:19" ht="24" customHeight="1">
      <c r="A358" s="164"/>
      <c r="B358" s="165"/>
      <c r="C358" s="165"/>
      <c r="D358" s="165"/>
      <c r="E358" s="165"/>
      <c r="F358" s="165"/>
      <c r="G358" s="165"/>
      <c r="H358" s="165"/>
      <c r="I358" s="166"/>
      <c r="J358" s="167"/>
      <c r="K358" s="168"/>
      <c r="L358" s="169"/>
      <c r="M358" s="170"/>
      <c r="N358" s="83"/>
      <c r="O358" s="171"/>
      <c r="P358" s="172"/>
      <c r="S358" s="140"/>
    </row>
    <row r="359" spans="1:19" ht="24" customHeight="1">
      <c r="A359" s="164"/>
      <c r="B359" s="165"/>
      <c r="C359" s="165"/>
      <c r="D359" s="165"/>
      <c r="E359" s="165"/>
      <c r="F359" s="165"/>
      <c r="G359" s="165"/>
      <c r="H359" s="165"/>
      <c r="I359" s="166"/>
      <c r="J359" s="167"/>
      <c r="K359" s="168"/>
      <c r="L359" s="169"/>
      <c r="M359" s="170"/>
      <c r="N359" s="83"/>
      <c r="O359" s="171"/>
      <c r="P359" s="172"/>
      <c r="S359" s="140"/>
    </row>
    <row r="360" spans="1:19" ht="24" customHeight="1">
      <c r="A360" s="164"/>
      <c r="B360" s="165"/>
      <c r="C360" s="165"/>
      <c r="D360" s="165"/>
      <c r="E360" s="165"/>
      <c r="F360" s="165"/>
      <c r="G360" s="165"/>
      <c r="H360" s="165"/>
      <c r="I360" s="166"/>
      <c r="J360" s="167"/>
      <c r="K360" s="168"/>
      <c r="L360" s="169"/>
      <c r="M360" s="170"/>
      <c r="N360" s="83"/>
      <c r="O360" s="171"/>
      <c r="P360" s="172"/>
      <c r="S360" s="140"/>
    </row>
    <row r="361" spans="1:19" ht="24" customHeight="1">
      <c r="A361" s="164"/>
      <c r="B361" s="165"/>
      <c r="C361" s="165"/>
      <c r="D361" s="165"/>
      <c r="E361" s="165"/>
      <c r="F361" s="165"/>
      <c r="G361" s="165"/>
      <c r="H361" s="165"/>
      <c r="I361" s="166"/>
      <c r="J361" s="167"/>
      <c r="K361" s="168"/>
      <c r="L361" s="169"/>
      <c r="M361" s="170"/>
      <c r="N361" s="83"/>
      <c r="O361" s="171"/>
      <c r="P361" s="172"/>
      <c r="S361" s="140"/>
    </row>
    <row r="362" spans="1:19" ht="24" customHeight="1">
      <c r="A362" s="164"/>
      <c r="B362" s="165"/>
      <c r="C362" s="165"/>
      <c r="D362" s="165"/>
      <c r="E362" s="165"/>
      <c r="F362" s="165"/>
      <c r="G362" s="165"/>
      <c r="H362" s="165"/>
      <c r="I362" s="166"/>
      <c r="J362" s="167"/>
      <c r="K362" s="168"/>
      <c r="L362" s="169"/>
      <c r="M362" s="170"/>
      <c r="N362" s="83"/>
      <c r="O362" s="171"/>
      <c r="P362" s="172"/>
      <c r="S362" s="140"/>
    </row>
    <row r="363" spans="1:19" ht="24" customHeight="1">
      <c r="A363" s="164"/>
      <c r="B363" s="165"/>
      <c r="C363" s="165"/>
      <c r="D363" s="165"/>
      <c r="E363" s="165"/>
      <c r="F363" s="165"/>
      <c r="G363" s="165"/>
      <c r="H363" s="165"/>
      <c r="I363" s="166"/>
      <c r="J363" s="167"/>
      <c r="K363" s="168"/>
      <c r="L363" s="169"/>
      <c r="M363" s="170"/>
      <c r="N363" s="83"/>
      <c r="O363" s="171"/>
      <c r="P363" s="172"/>
      <c r="S363" s="140"/>
    </row>
    <row r="364" spans="1:19" ht="24" customHeight="1">
      <c r="A364" s="164"/>
      <c r="B364" s="165"/>
      <c r="C364" s="165"/>
      <c r="D364" s="165"/>
      <c r="E364" s="165"/>
      <c r="F364" s="165"/>
      <c r="G364" s="165"/>
      <c r="H364" s="165"/>
      <c r="I364" s="166"/>
      <c r="J364" s="167"/>
      <c r="K364" s="168"/>
      <c r="L364" s="169"/>
      <c r="M364" s="170"/>
      <c r="N364" s="83"/>
      <c r="O364" s="171"/>
      <c r="P364" s="172"/>
      <c r="S364" s="140"/>
    </row>
    <row r="365" spans="1:19" ht="24" customHeight="1">
      <c r="A365" s="164"/>
      <c r="B365" s="165"/>
      <c r="C365" s="165"/>
      <c r="D365" s="165"/>
      <c r="E365" s="165"/>
      <c r="F365" s="165"/>
      <c r="G365" s="165"/>
      <c r="H365" s="165"/>
      <c r="I365" s="166"/>
      <c r="J365" s="167"/>
      <c r="K365" s="168"/>
      <c r="L365" s="169"/>
      <c r="M365" s="170"/>
      <c r="N365" s="83"/>
      <c r="O365" s="171"/>
      <c r="P365" s="172"/>
      <c r="S365" s="140"/>
    </row>
    <row r="366" spans="1:19" ht="24" customHeight="1">
      <c r="A366" s="164"/>
      <c r="B366" s="165"/>
      <c r="C366" s="165"/>
      <c r="D366" s="165"/>
      <c r="E366" s="165"/>
      <c r="F366" s="165"/>
      <c r="G366" s="165"/>
      <c r="H366" s="165"/>
      <c r="I366" s="166"/>
      <c r="J366" s="167"/>
      <c r="K366" s="168"/>
      <c r="L366" s="169"/>
      <c r="M366" s="170"/>
      <c r="N366" s="83"/>
      <c r="O366" s="171"/>
      <c r="P366" s="172"/>
      <c r="S366" s="140"/>
    </row>
    <row r="367" spans="1:19" ht="24" customHeight="1">
      <c r="A367" s="164"/>
      <c r="B367" s="165"/>
      <c r="C367" s="165"/>
      <c r="D367" s="165"/>
      <c r="E367" s="165"/>
      <c r="F367" s="165"/>
      <c r="G367" s="165"/>
      <c r="H367" s="165"/>
      <c r="I367" s="166"/>
      <c r="J367" s="167"/>
      <c r="K367" s="168"/>
      <c r="L367" s="169"/>
      <c r="M367" s="170"/>
      <c r="N367" s="83"/>
      <c r="O367" s="171"/>
      <c r="P367" s="172"/>
      <c r="S367" s="140"/>
    </row>
    <row r="368" spans="1:19" ht="24" customHeight="1">
      <c r="A368" s="164"/>
      <c r="B368" s="165"/>
      <c r="C368" s="165"/>
      <c r="D368" s="165"/>
      <c r="E368" s="165"/>
      <c r="F368" s="165"/>
      <c r="G368" s="165"/>
      <c r="H368" s="165"/>
      <c r="I368" s="166"/>
      <c r="J368" s="167"/>
      <c r="K368" s="168"/>
      <c r="L368" s="169"/>
      <c r="M368" s="170"/>
      <c r="N368" s="83"/>
      <c r="O368" s="171"/>
      <c r="P368" s="172"/>
      <c r="S368" s="140"/>
    </row>
    <row r="369" spans="1:19" ht="24" customHeight="1">
      <c r="A369" s="164"/>
      <c r="B369" s="165"/>
      <c r="C369" s="165"/>
      <c r="D369" s="165"/>
      <c r="E369" s="165"/>
      <c r="F369" s="165"/>
      <c r="G369" s="165"/>
      <c r="H369" s="165"/>
      <c r="I369" s="166"/>
      <c r="J369" s="167"/>
      <c r="K369" s="168"/>
      <c r="L369" s="169"/>
      <c r="M369" s="170"/>
      <c r="N369" s="83"/>
      <c r="O369" s="171"/>
      <c r="P369" s="172"/>
      <c r="S369" s="140"/>
    </row>
    <row r="370" spans="1:19" ht="24" customHeight="1">
      <c r="A370" s="164"/>
      <c r="B370" s="165"/>
      <c r="C370" s="165"/>
      <c r="D370" s="165"/>
      <c r="E370" s="165"/>
      <c r="F370" s="165"/>
      <c r="G370" s="165"/>
      <c r="H370" s="165"/>
      <c r="I370" s="166"/>
      <c r="J370" s="167"/>
      <c r="K370" s="168"/>
      <c r="L370" s="169"/>
      <c r="M370" s="170"/>
      <c r="N370" s="83"/>
      <c r="O370" s="171"/>
      <c r="P370" s="172"/>
      <c r="S370" s="140"/>
    </row>
    <row r="371" spans="1:19" ht="24" customHeight="1">
      <c r="A371" s="164"/>
      <c r="B371" s="165"/>
      <c r="C371" s="165"/>
      <c r="D371" s="165"/>
      <c r="E371" s="165"/>
      <c r="F371" s="165"/>
      <c r="G371" s="165"/>
      <c r="H371" s="165"/>
      <c r="I371" s="166"/>
      <c r="J371" s="167"/>
      <c r="K371" s="168"/>
      <c r="L371" s="169"/>
      <c r="M371" s="170"/>
      <c r="N371" s="83"/>
      <c r="O371" s="171"/>
      <c r="P371" s="172"/>
      <c r="S371" s="140"/>
    </row>
    <row r="372" spans="1:19" ht="24" customHeight="1">
      <c r="A372" s="164"/>
      <c r="B372" s="165"/>
      <c r="C372" s="165"/>
      <c r="D372" s="165"/>
      <c r="E372" s="165"/>
      <c r="F372" s="165"/>
      <c r="G372" s="165"/>
      <c r="H372" s="165"/>
      <c r="I372" s="166"/>
      <c r="J372" s="167"/>
      <c r="K372" s="168"/>
      <c r="L372" s="169"/>
      <c r="M372" s="170"/>
      <c r="N372" s="83"/>
      <c r="O372" s="171"/>
      <c r="P372" s="172"/>
      <c r="S372" s="140"/>
    </row>
    <row r="373" spans="1:19" ht="24" customHeight="1">
      <c r="A373" s="164"/>
      <c r="B373" s="165"/>
      <c r="C373" s="165"/>
      <c r="D373" s="165"/>
      <c r="E373" s="165"/>
      <c r="F373" s="165"/>
      <c r="G373" s="165"/>
      <c r="H373" s="165"/>
      <c r="I373" s="166"/>
      <c r="J373" s="167"/>
      <c r="K373" s="168"/>
      <c r="L373" s="169"/>
      <c r="M373" s="170"/>
      <c r="N373" s="83"/>
      <c r="O373" s="171"/>
      <c r="P373" s="172"/>
      <c r="S373" s="140"/>
    </row>
    <row r="374" spans="1:19" ht="24" customHeight="1">
      <c r="A374" s="164"/>
      <c r="B374" s="165"/>
      <c r="C374" s="165"/>
      <c r="D374" s="165"/>
      <c r="E374" s="165"/>
      <c r="F374" s="165"/>
      <c r="G374" s="165"/>
      <c r="H374" s="165"/>
      <c r="I374" s="166"/>
      <c r="J374" s="167"/>
      <c r="K374" s="168"/>
      <c r="L374" s="169"/>
      <c r="M374" s="170"/>
      <c r="N374" s="83"/>
      <c r="O374" s="171"/>
      <c r="P374" s="172"/>
      <c r="S374" s="140"/>
    </row>
    <row r="375" spans="1:19" ht="24" customHeight="1">
      <c r="A375" s="164"/>
      <c r="B375" s="165"/>
      <c r="C375" s="165"/>
      <c r="D375" s="165"/>
      <c r="E375" s="165"/>
      <c r="F375" s="165"/>
      <c r="G375" s="165"/>
      <c r="H375" s="165"/>
      <c r="I375" s="166"/>
      <c r="J375" s="167"/>
      <c r="K375" s="168"/>
      <c r="L375" s="169"/>
      <c r="M375" s="170"/>
      <c r="N375" s="83"/>
      <c r="O375" s="171"/>
      <c r="P375" s="172"/>
      <c r="S375" s="140"/>
    </row>
    <row r="376" spans="1:19" ht="24" customHeight="1">
      <c r="A376" s="164"/>
      <c r="B376" s="165"/>
      <c r="C376" s="165"/>
      <c r="D376" s="165"/>
      <c r="E376" s="165"/>
      <c r="F376" s="165"/>
      <c r="G376" s="165"/>
      <c r="H376" s="165"/>
      <c r="I376" s="166"/>
      <c r="J376" s="167"/>
      <c r="K376" s="168"/>
      <c r="L376" s="169"/>
      <c r="M376" s="170"/>
      <c r="N376" s="83"/>
      <c r="O376" s="171"/>
      <c r="P376" s="172"/>
      <c r="S376" s="140"/>
    </row>
    <row r="377" spans="1:19" ht="24" customHeight="1">
      <c r="A377" s="164"/>
      <c r="B377" s="165"/>
      <c r="C377" s="165"/>
      <c r="D377" s="165"/>
      <c r="E377" s="165"/>
      <c r="F377" s="165"/>
      <c r="G377" s="165"/>
      <c r="H377" s="165"/>
      <c r="I377" s="166"/>
      <c r="J377" s="167"/>
      <c r="K377" s="168"/>
      <c r="L377" s="169"/>
      <c r="M377" s="170"/>
      <c r="N377" s="83"/>
      <c r="O377" s="171"/>
      <c r="P377" s="172"/>
      <c r="S377" s="140"/>
    </row>
    <row r="378" spans="1:19" ht="24" customHeight="1">
      <c r="A378" s="164"/>
      <c r="B378" s="165"/>
      <c r="C378" s="165"/>
      <c r="D378" s="165"/>
      <c r="E378" s="165"/>
      <c r="F378" s="165"/>
      <c r="G378" s="165"/>
      <c r="H378" s="165"/>
      <c r="I378" s="166"/>
      <c r="J378" s="167"/>
      <c r="K378" s="168"/>
      <c r="L378" s="169"/>
      <c r="M378" s="170"/>
      <c r="N378" s="83"/>
      <c r="O378" s="171"/>
      <c r="P378" s="172"/>
      <c r="S378" s="140"/>
    </row>
    <row r="379" spans="1:19" ht="24" customHeight="1">
      <c r="A379" s="164"/>
      <c r="B379" s="165"/>
      <c r="C379" s="165"/>
      <c r="D379" s="165"/>
      <c r="E379" s="165"/>
      <c r="F379" s="165"/>
      <c r="G379" s="165"/>
      <c r="H379" s="165"/>
      <c r="I379" s="166"/>
      <c r="J379" s="167"/>
      <c r="K379" s="168"/>
      <c r="L379" s="169"/>
      <c r="M379" s="170"/>
      <c r="N379" s="83"/>
      <c r="O379" s="171"/>
      <c r="P379" s="172"/>
      <c r="S379" s="140"/>
    </row>
    <row r="380" spans="1:19" ht="24" customHeight="1">
      <c r="A380" s="164"/>
      <c r="B380" s="165"/>
      <c r="C380" s="165"/>
      <c r="D380" s="165"/>
      <c r="E380" s="165"/>
      <c r="F380" s="165"/>
      <c r="G380" s="165"/>
      <c r="H380" s="165"/>
      <c r="I380" s="166"/>
      <c r="J380" s="167"/>
      <c r="K380" s="168"/>
      <c r="L380" s="169"/>
      <c r="M380" s="170"/>
      <c r="N380" s="83"/>
      <c r="O380" s="171"/>
      <c r="P380" s="172"/>
      <c r="S380" s="140"/>
    </row>
    <row r="381" spans="1:19" ht="24" customHeight="1">
      <c r="A381" s="164"/>
      <c r="B381" s="165"/>
      <c r="C381" s="165"/>
      <c r="D381" s="165"/>
      <c r="E381" s="165"/>
      <c r="F381" s="165"/>
      <c r="G381" s="165"/>
      <c r="H381" s="165"/>
      <c r="I381" s="166"/>
      <c r="J381" s="167"/>
      <c r="K381" s="168"/>
      <c r="L381" s="169"/>
      <c r="M381" s="170"/>
      <c r="N381" s="83"/>
      <c r="O381" s="171"/>
      <c r="P381" s="172"/>
      <c r="S381" s="140"/>
    </row>
    <row r="382" spans="1:19" ht="24" customHeight="1">
      <c r="A382" s="164"/>
      <c r="B382" s="165"/>
      <c r="C382" s="165"/>
      <c r="D382" s="165"/>
      <c r="E382" s="165"/>
      <c r="F382" s="165"/>
      <c r="G382" s="165"/>
      <c r="H382" s="165"/>
      <c r="I382" s="166"/>
      <c r="J382" s="167"/>
      <c r="K382" s="168"/>
      <c r="L382" s="169"/>
      <c r="M382" s="170"/>
      <c r="N382" s="83"/>
      <c r="O382" s="171"/>
      <c r="P382" s="172"/>
      <c r="S382" s="140"/>
    </row>
    <row r="383" spans="1:19" ht="24" customHeight="1">
      <c r="A383" s="164"/>
      <c r="B383" s="165"/>
      <c r="C383" s="165"/>
      <c r="D383" s="165"/>
      <c r="E383" s="165"/>
      <c r="F383" s="165"/>
      <c r="G383" s="165"/>
      <c r="H383" s="165"/>
      <c r="I383" s="166"/>
      <c r="J383" s="167"/>
      <c r="K383" s="168"/>
      <c r="L383" s="169"/>
      <c r="M383" s="170"/>
      <c r="N383" s="83"/>
      <c r="O383" s="171"/>
      <c r="P383" s="172"/>
      <c r="S383" s="140"/>
    </row>
    <row r="384" spans="1:19" ht="24" customHeight="1">
      <c r="A384" s="164"/>
      <c r="B384" s="165"/>
      <c r="C384" s="165"/>
      <c r="D384" s="165"/>
      <c r="E384" s="165"/>
      <c r="F384" s="165"/>
      <c r="G384" s="165"/>
      <c r="H384" s="165"/>
      <c r="I384" s="166"/>
      <c r="J384" s="167"/>
      <c r="K384" s="168"/>
      <c r="L384" s="169"/>
      <c r="M384" s="170"/>
      <c r="N384" s="83"/>
      <c r="O384" s="171"/>
      <c r="P384" s="172"/>
      <c r="S384" s="140"/>
    </row>
    <row r="385" spans="1:19" ht="24" customHeight="1">
      <c r="A385" s="164"/>
      <c r="B385" s="165"/>
      <c r="C385" s="165"/>
      <c r="D385" s="165"/>
      <c r="E385" s="165"/>
      <c r="F385" s="165"/>
      <c r="G385" s="165"/>
      <c r="H385" s="165"/>
      <c r="I385" s="166"/>
      <c r="J385" s="167"/>
      <c r="K385" s="168"/>
      <c r="L385" s="169"/>
      <c r="M385" s="170"/>
      <c r="N385" s="83"/>
      <c r="O385" s="171"/>
      <c r="P385" s="172"/>
      <c r="S385" s="140"/>
    </row>
    <row r="386" spans="1:19" ht="24" customHeight="1">
      <c r="A386" s="164"/>
      <c r="B386" s="165"/>
      <c r="C386" s="165"/>
      <c r="D386" s="165"/>
      <c r="E386" s="165"/>
      <c r="F386" s="165"/>
      <c r="G386" s="165"/>
      <c r="H386" s="165"/>
      <c r="I386" s="166"/>
      <c r="J386" s="167"/>
      <c r="K386" s="168"/>
      <c r="L386" s="169"/>
      <c r="M386" s="170"/>
      <c r="N386" s="83"/>
      <c r="O386" s="171"/>
      <c r="P386" s="172"/>
      <c r="S386" s="140"/>
    </row>
    <row r="387" spans="1:19" ht="24" customHeight="1">
      <c r="A387" s="164"/>
      <c r="B387" s="165"/>
      <c r="C387" s="165"/>
      <c r="D387" s="165"/>
      <c r="E387" s="165"/>
      <c r="F387" s="165"/>
      <c r="G387" s="165"/>
      <c r="H387" s="165"/>
      <c r="I387" s="166"/>
      <c r="J387" s="167"/>
      <c r="K387" s="168"/>
      <c r="L387" s="169"/>
      <c r="M387" s="170"/>
      <c r="N387" s="83"/>
      <c r="O387" s="171"/>
      <c r="P387" s="172"/>
      <c r="S387" s="140"/>
    </row>
    <row r="388" spans="1:19" ht="24" customHeight="1">
      <c r="A388" s="164"/>
      <c r="B388" s="165"/>
      <c r="C388" s="165"/>
      <c r="D388" s="165"/>
      <c r="E388" s="165"/>
      <c r="F388" s="165"/>
      <c r="G388" s="165"/>
      <c r="H388" s="165"/>
      <c r="I388" s="166"/>
      <c r="J388" s="167"/>
      <c r="K388" s="168"/>
      <c r="L388" s="169"/>
      <c r="M388" s="170"/>
      <c r="N388" s="83"/>
      <c r="O388" s="171"/>
      <c r="P388" s="172"/>
      <c r="S388" s="140"/>
    </row>
    <row r="389" spans="1:19" ht="24" customHeight="1">
      <c r="A389" s="164"/>
      <c r="B389" s="165"/>
      <c r="C389" s="165"/>
      <c r="D389" s="165"/>
      <c r="E389" s="165"/>
      <c r="F389" s="165"/>
      <c r="G389" s="165"/>
      <c r="H389" s="165"/>
      <c r="I389" s="166"/>
      <c r="J389" s="167"/>
      <c r="K389" s="168"/>
      <c r="L389" s="169"/>
      <c r="M389" s="170"/>
      <c r="N389" s="83"/>
      <c r="O389" s="171"/>
      <c r="P389" s="172"/>
      <c r="S389" s="140"/>
    </row>
    <row r="390" spans="1:19" ht="24" customHeight="1">
      <c r="A390" s="164"/>
      <c r="B390" s="165"/>
      <c r="C390" s="165"/>
      <c r="D390" s="165"/>
      <c r="E390" s="165"/>
      <c r="F390" s="165"/>
      <c r="G390" s="165"/>
      <c r="H390" s="165"/>
      <c r="I390" s="166"/>
      <c r="J390" s="167"/>
      <c r="K390" s="168"/>
      <c r="L390" s="169"/>
      <c r="M390" s="170"/>
      <c r="N390" s="83"/>
      <c r="O390" s="171"/>
      <c r="P390" s="172"/>
      <c r="S390" s="140"/>
    </row>
    <row r="391" spans="1:19" ht="24" customHeight="1">
      <c r="A391" s="164"/>
      <c r="B391" s="165"/>
      <c r="C391" s="165"/>
      <c r="D391" s="165"/>
      <c r="E391" s="165"/>
      <c r="F391" s="165"/>
      <c r="G391" s="165"/>
      <c r="H391" s="165"/>
      <c r="I391" s="166"/>
      <c r="J391" s="167"/>
      <c r="K391" s="168"/>
      <c r="L391" s="169"/>
      <c r="M391" s="170"/>
      <c r="N391" s="83"/>
      <c r="O391" s="171"/>
      <c r="P391" s="172"/>
      <c r="S391" s="140"/>
    </row>
    <row r="392" spans="1:19" ht="24" customHeight="1">
      <c r="A392" s="164"/>
      <c r="B392" s="165"/>
      <c r="C392" s="165"/>
      <c r="D392" s="165"/>
      <c r="E392" s="165"/>
      <c r="F392" s="165"/>
      <c r="G392" s="165"/>
      <c r="H392" s="165"/>
      <c r="I392" s="166"/>
      <c r="J392" s="167"/>
      <c r="K392" s="168"/>
      <c r="L392" s="169"/>
      <c r="M392" s="170"/>
      <c r="N392" s="83"/>
      <c r="O392" s="171"/>
      <c r="P392" s="172"/>
      <c r="S392" s="140"/>
    </row>
    <row r="393" spans="1:19" ht="24" customHeight="1">
      <c r="A393" s="164"/>
      <c r="B393" s="165"/>
      <c r="C393" s="165"/>
      <c r="D393" s="165"/>
      <c r="E393" s="165"/>
      <c r="F393" s="165"/>
      <c r="G393" s="165"/>
      <c r="H393" s="165"/>
      <c r="I393" s="166"/>
      <c r="J393" s="167"/>
      <c r="K393" s="168"/>
      <c r="L393" s="169"/>
      <c r="M393" s="170"/>
      <c r="N393" s="83"/>
      <c r="O393" s="171"/>
      <c r="P393" s="172"/>
      <c r="S393" s="140"/>
    </row>
    <row r="394" spans="1:19" ht="24" customHeight="1">
      <c r="A394" s="164"/>
      <c r="B394" s="165"/>
      <c r="C394" s="165"/>
      <c r="D394" s="165"/>
      <c r="E394" s="165"/>
      <c r="F394" s="165"/>
      <c r="G394" s="165"/>
      <c r="H394" s="165"/>
      <c r="I394" s="166"/>
      <c r="J394" s="167"/>
      <c r="K394" s="168"/>
      <c r="L394" s="169"/>
      <c r="M394" s="170"/>
      <c r="N394" s="83"/>
      <c r="O394" s="171"/>
      <c r="P394" s="172"/>
      <c r="S394" s="140"/>
    </row>
    <row r="395" spans="1:19" ht="24" customHeight="1">
      <c r="A395" s="164"/>
      <c r="B395" s="165"/>
      <c r="C395" s="165"/>
      <c r="D395" s="165"/>
      <c r="E395" s="165"/>
      <c r="F395" s="165"/>
      <c r="G395" s="165"/>
      <c r="H395" s="165"/>
      <c r="I395" s="166"/>
      <c r="J395" s="167"/>
      <c r="K395" s="168"/>
      <c r="L395" s="169"/>
      <c r="M395" s="170"/>
      <c r="N395" s="83"/>
      <c r="O395" s="171"/>
      <c r="P395" s="172"/>
      <c r="S395" s="140"/>
    </row>
    <row r="396" spans="1:19" ht="24" customHeight="1">
      <c r="A396" s="164"/>
      <c r="B396" s="165"/>
      <c r="C396" s="165"/>
      <c r="D396" s="165"/>
      <c r="E396" s="165"/>
      <c r="F396" s="165"/>
      <c r="G396" s="165"/>
      <c r="H396" s="165"/>
      <c r="I396" s="166"/>
      <c r="J396" s="167"/>
      <c r="K396" s="168"/>
      <c r="L396" s="169"/>
      <c r="M396" s="170"/>
      <c r="N396" s="83"/>
      <c r="O396" s="171"/>
      <c r="P396" s="172"/>
      <c r="S396" s="140"/>
    </row>
    <row r="397" spans="1:19" ht="24" customHeight="1">
      <c r="A397" s="164"/>
      <c r="B397" s="165"/>
      <c r="C397" s="165"/>
      <c r="D397" s="165"/>
      <c r="E397" s="165"/>
      <c r="F397" s="165"/>
      <c r="G397" s="165"/>
      <c r="H397" s="165"/>
      <c r="I397" s="166"/>
      <c r="J397" s="167"/>
      <c r="K397" s="168"/>
      <c r="L397" s="169"/>
      <c r="M397" s="170"/>
      <c r="N397" s="83"/>
      <c r="O397" s="171"/>
      <c r="P397" s="172"/>
      <c r="S397" s="140"/>
    </row>
    <row r="398" spans="1:19" ht="24" customHeight="1">
      <c r="A398" s="164"/>
      <c r="B398" s="165"/>
      <c r="C398" s="165"/>
      <c r="D398" s="165"/>
      <c r="E398" s="165"/>
      <c r="F398" s="165"/>
      <c r="G398" s="165"/>
      <c r="H398" s="165"/>
      <c r="I398" s="166"/>
      <c r="J398" s="167"/>
      <c r="K398" s="168"/>
      <c r="L398" s="169"/>
      <c r="M398" s="170"/>
      <c r="N398" s="83"/>
      <c r="O398" s="171"/>
      <c r="P398" s="172"/>
      <c r="S398" s="140"/>
    </row>
    <row r="399" spans="1:19" ht="24" customHeight="1">
      <c r="A399" s="164"/>
      <c r="B399" s="165"/>
      <c r="C399" s="165"/>
      <c r="D399" s="165"/>
      <c r="E399" s="165"/>
      <c r="F399" s="165"/>
      <c r="G399" s="165"/>
      <c r="H399" s="165"/>
      <c r="I399" s="166"/>
      <c r="J399" s="167"/>
      <c r="K399" s="168"/>
      <c r="L399" s="169"/>
      <c r="M399" s="170"/>
      <c r="N399" s="83"/>
      <c r="O399" s="171"/>
      <c r="P399" s="172"/>
      <c r="S399" s="140"/>
    </row>
    <row r="400" spans="1:19" ht="24" customHeight="1">
      <c r="A400" s="164"/>
      <c r="B400" s="165"/>
      <c r="C400" s="165"/>
      <c r="D400" s="165"/>
      <c r="E400" s="165"/>
      <c r="F400" s="165"/>
      <c r="G400" s="165"/>
      <c r="H400" s="165"/>
      <c r="I400" s="166"/>
      <c r="J400" s="167"/>
      <c r="K400" s="168"/>
      <c r="L400" s="169"/>
      <c r="M400" s="170"/>
      <c r="N400" s="83"/>
      <c r="O400" s="171"/>
      <c r="P400" s="172"/>
      <c r="S400" s="140"/>
    </row>
    <row r="401" spans="1:19" ht="24" customHeight="1">
      <c r="A401" s="164"/>
      <c r="B401" s="165"/>
      <c r="C401" s="165"/>
      <c r="D401" s="165"/>
      <c r="E401" s="165"/>
      <c r="F401" s="165"/>
      <c r="G401" s="165"/>
      <c r="H401" s="165"/>
      <c r="I401" s="166"/>
      <c r="J401" s="167"/>
      <c r="K401" s="168"/>
      <c r="L401" s="169"/>
      <c r="M401" s="170"/>
      <c r="N401" s="83"/>
      <c r="O401" s="171"/>
      <c r="P401" s="172"/>
      <c r="S401" s="140"/>
    </row>
    <row r="402" spans="1:19" ht="24" customHeight="1">
      <c r="A402" s="164"/>
      <c r="B402" s="165"/>
      <c r="C402" s="165"/>
      <c r="D402" s="165"/>
      <c r="E402" s="165"/>
      <c r="F402" s="165"/>
      <c r="G402" s="165"/>
      <c r="H402" s="165"/>
      <c r="I402" s="166"/>
      <c r="J402" s="167"/>
      <c r="K402" s="168"/>
      <c r="L402" s="169"/>
      <c r="M402" s="170"/>
      <c r="N402" s="83"/>
      <c r="O402" s="171"/>
      <c r="P402" s="172"/>
      <c r="S402" s="140"/>
    </row>
    <row r="403" spans="1:19" ht="24" customHeight="1">
      <c r="A403" s="164"/>
      <c r="B403" s="165"/>
      <c r="C403" s="165"/>
      <c r="D403" s="165"/>
      <c r="E403" s="165"/>
      <c r="F403" s="165"/>
      <c r="G403" s="165"/>
      <c r="H403" s="165"/>
      <c r="I403" s="166"/>
      <c r="J403" s="167"/>
      <c r="K403" s="168"/>
      <c r="L403" s="169"/>
      <c r="M403" s="170"/>
      <c r="N403" s="83"/>
      <c r="O403" s="171"/>
      <c r="P403" s="172"/>
      <c r="S403" s="140"/>
    </row>
    <row r="404" spans="1:19" ht="24" customHeight="1">
      <c r="A404" s="164"/>
      <c r="B404" s="165"/>
      <c r="C404" s="165"/>
      <c r="D404" s="165"/>
      <c r="E404" s="165"/>
      <c r="F404" s="165"/>
      <c r="G404" s="165"/>
      <c r="H404" s="165"/>
      <c r="I404" s="166"/>
      <c r="J404" s="167"/>
      <c r="K404" s="168"/>
      <c r="L404" s="169"/>
      <c r="M404" s="170"/>
      <c r="N404" s="83"/>
      <c r="O404" s="171"/>
      <c r="P404" s="172"/>
      <c r="S404" s="140"/>
    </row>
    <row r="405" spans="1:19" ht="24" customHeight="1">
      <c r="A405" s="164"/>
      <c r="B405" s="165"/>
      <c r="C405" s="165"/>
      <c r="D405" s="165"/>
      <c r="E405" s="165"/>
      <c r="F405" s="165"/>
      <c r="G405" s="165"/>
      <c r="H405" s="165"/>
      <c r="I405" s="166"/>
      <c r="J405" s="167"/>
      <c r="K405" s="168"/>
      <c r="L405" s="169"/>
      <c r="M405" s="170"/>
      <c r="N405" s="83"/>
      <c r="O405" s="171"/>
      <c r="P405" s="172"/>
      <c r="S405" s="140"/>
    </row>
    <row r="406" spans="1:19" ht="24" customHeight="1">
      <c r="A406" s="164"/>
      <c r="B406" s="165"/>
      <c r="C406" s="165"/>
      <c r="D406" s="165"/>
      <c r="E406" s="165"/>
      <c r="F406" s="165"/>
      <c r="G406" s="165"/>
      <c r="H406" s="165"/>
      <c r="I406" s="166"/>
      <c r="J406" s="167"/>
      <c r="K406" s="168"/>
      <c r="L406" s="169"/>
      <c r="M406" s="170"/>
      <c r="N406" s="83"/>
      <c r="O406" s="171"/>
      <c r="P406" s="172"/>
      <c r="S406" s="140"/>
    </row>
    <row r="407" spans="1:19" ht="24" customHeight="1">
      <c r="A407" s="164"/>
      <c r="B407" s="165"/>
      <c r="C407" s="165"/>
      <c r="D407" s="165"/>
      <c r="E407" s="165"/>
      <c r="F407" s="165"/>
      <c r="G407" s="165"/>
      <c r="H407" s="165"/>
      <c r="I407" s="166"/>
      <c r="J407" s="167"/>
      <c r="K407" s="168"/>
      <c r="L407" s="169"/>
      <c r="M407" s="170"/>
      <c r="N407" s="83"/>
      <c r="O407" s="171"/>
      <c r="P407" s="172"/>
      <c r="S407" s="140"/>
    </row>
    <row r="408" spans="1:19" ht="24" customHeight="1">
      <c r="A408" s="164"/>
      <c r="B408" s="165"/>
      <c r="C408" s="165"/>
      <c r="D408" s="165"/>
      <c r="E408" s="165"/>
      <c r="F408" s="165"/>
      <c r="G408" s="165"/>
      <c r="H408" s="165"/>
      <c r="I408" s="166"/>
      <c r="J408" s="167"/>
      <c r="K408" s="168"/>
      <c r="L408" s="169"/>
      <c r="M408" s="170"/>
      <c r="N408" s="83"/>
      <c r="O408" s="171"/>
      <c r="P408" s="172"/>
      <c r="S408" s="140"/>
    </row>
    <row r="409" spans="1:19" ht="24" customHeight="1">
      <c r="A409" s="164"/>
      <c r="B409" s="165"/>
      <c r="C409" s="165"/>
      <c r="D409" s="165"/>
      <c r="E409" s="165"/>
      <c r="F409" s="165"/>
      <c r="G409" s="165"/>
      <c r="H409" s="165"/>
      <c r="I409" s="166"/>
      <c r="J409" s="167"/>
      <c r="K409" s="168"/>
      <c r="L409" s="169"/>
      <c r="M409" s="170"/>
      <c r="N409" s="83"/>
      <c r="O409" s="171"/>
      <c r="P409" s="172"/>
      <c r="S409" s="140"/>
    </row>
    <row r="410" spans="1:19" ht="24" customHeight="1">
      <c r="A410" s="164"/>
      <c r="B410" s="165"/>
      <c r="C410" s="165"/>
      <c r="D410" s="165"/>
      <c r="E410" s="165"/>
      <c r="F410" s="165"/>
      <c r="G410" s="165"/>
      <c r="H410" s="165"/>
      <c r="I410" s="166"/>
      <c r="J410" s="167"/>
      <c r="K410" s="168"/>
      <c r="L410" s="169"/>
      <c r="M410" s="170"/>
      <c r="N410" s="83"/>
      <c r="O410" s="171"/>
      <c r="P410" s="172"/>
      <c r="S410" s="140"/>
    </row>
    <row r="411" spans="1:19" ht="24" customHeight="1">
      <c r="A411" s="164"/>
      <c r="B411" s="165"/>
      <c r="C411" s="165"/>
      <c r="D411" s="165"/>
      <c r="E411" s="165"/>
      <c r="F411" s="165"/>
      <c r="G411" s="165"/>
      <c r="H411" s="165"/>
      <c r="I411" s="166"/>
      <c r="J411" s="167"/>
      <c r="K411" s="168"/>
      <c r="L411" s="169"/>
      <c r="M411" s="170"/>
      <c r="N411" s="83"/>
      <c r="O411" s="171"/>
      <c r="P411" s="172"/>
      <c r="S411" s="140"/>
    </row>
    <row r="412" spans="1:19" ht="24" customHeight="1">
      <c r="A412" s="164"/>
      <c r="B412" s="165"/>
      <c r="C412" s="165"/>
      <c r="D412" s="165"/>
      <c r="E412" s="165"/>
      <c r="F412" s="165"/>
      <c r="G412" s="165"/>
      <c r="H412" s="165"/>
      <c r="I412" s="166"/>
      <c r="J412" s="167"/>
      <c r="K412" s="168"/>
      <c r="L412" s="169"/>
      <c r="M412" s="170"/>
      <c r="N412" s="83"/>
      <c r="O412" s="171"/>
      <c r="P412" s="172"/>
      <c r="S412" s="140"/>
    </row>
    <row r="413" spans="1:19" ht="24" customHeight="1">
      <c r="A413" s="164"/>
      <c r="B413" s="165"/>
      <c r="C413" s="165"/>
      <c r="D413" s="165"/>
      <c r="E413" s="165"/>
      <c r="F413" s="165"/>
      <c r="G413" s="165"/>
      <c r="H413" s="165"/>
      <c r="I413" s="166"/>
      <c r="J413" s="167"/>
      <c r="K413" s="168"/>
      <c r="L413" s="169"/>
      <c r="M413" s="170"/>
      <c r="N413" s="83"/>
      <c r="O413" s="171"/>
      <c r="P413" s="172"/>
      <c r="S413" s="140"/>
    </row>
    <row r="414" spans="1:19" ht="24" customHeight="1">
      <c r="A414" s="164"/>
      <c r="B414" s="165"/>
      <c r="C414" s="165"/>
      <c r="D414" s="165"/>
      <c r="E414" s="165"/>
      <c r="F414" s="165"/>
      <c r="G414" s="165"/>
      <c r="H414" s="165"/>
      <c r="I414" s="166"/>
      <c r="J414" s="167"/>
      <c r="K414" s="168"/>
      <c r="L414" s="169"/>
      <c r="M414" s="170"/>
      <c r="N414" s="83"/>
      <c r="O414" s="171"/>
      <c r="P414" s="172"/>
      <c r="S414" s="140"/>
    </row>
    <row r="415" spans="1:19" ht="24" customHeight="1">
      <c r="A415" s="164"/>
      <c r="B415" s="165"/>
      <c r="C415" s="165"/>
      <c r="D415" s="165"/>
      <c r="E415" s="165"/>
      <c r="F415" s="165"/>
      <c r="G415" s="165"/>
      <c r="H415" s="165"/>
      <c r="I415" s="166"/>
      <c r="J415" s="167"/>
      <c r="K415" s="168"/>
      <c r="L415" s="169"/>
      <c r="M415" s="170"/>
      <c r="N415" s="83"/>
      <c r="O415" s="171"/>
      <c r="P415" s="172"/>
      <c r="S415" s="140"/>
    </row>
    <row r="416" spans="1:19" ht="24" customHeight="1">
      <c r="A416" s="164"/>
      <c r="B416" s="165"/>
      <c r="C416" s="165"/>
      <c r="D416" s="165"/>
      <c r="E416" s="165"/>
      <c r="F416" s="165"/>
      <c r="G416" s="165"/>
      <c r="H416" s="165"/>
      <c r="I416" s="166"/>
      <c r="J416" s="167"/>
      <c r="K416" s="168"/>
      <c r="L416" s="169"/>
      <c r="M416" s="170"/>
      <c r="N416" s="83"/>
      <c r="O416" s="171"/>
      <c r="P416" s="172"/>
      <c r="S416" s="140"/>
    </row>
    <row r="417" spans="1:19" ht="24" customHeight="1">
      <c r="A417" s="164"/>
      <c r="B417" s="165"/>
      <c r="C417" s="165"/>
      <c r="D417" s="165"/>
      <c r="E417" s="165"/>
      <c r="F417" s="165"/>
      <c r="G417" s="165"/>
      <c r="H417" s="165"/>
      <c r="I417" s="166"/>
      <c r="J417" s="167"/>
      <c r="K417" s="168"/>
      <c r="L417" s="169"/>
      <c r="M417" s="170"/>
      <c r="N417" s="83"/>
      <c r="O417" s="171"/>
      <c r="P417" s="172"/>
      <c r="S417" s="140"/>
    </row>
    <row r="418" spans="1:19" ht="24" customHeight="1">
      <c r="A418" s="164"/>
      <c r="B418" s="165"/>
      <c r="C418" s="165"/>
      <c r="D418" s="165"/>
      <c r="E418" s="165"/>
      <c r="F418" s="165"/>
      <c r="G418" s="165"/>
      <c r="H418" s="165"/>
      <c r="I418" s="166"/>
      <c r="J418" s="167"/>
      <c r="K418" s="168"/>
      <c r="L418" s="169"/>
      <c r="M418" s="170"/>
      <c r="N418" s="83"/>
      <c r="O418" s="171"/>
      <c r="P418" s="172"/>
      <c r="S418" s="140"/>
    </row>
    <row r="419" spans="1:19" ht="24" customHeight="1">
      <c r="A419" s="164"/>
      <c r="B419" s="165"/>
      <c r="C419" s="165"/>
      <c r="D419" s="165"/>
      <c r="E419" s="165"/>
      <c r="F419" s="165"/>
      <c r="G419" s="165"/>
      <c r="H419" s="165"/>
      <c r="I419" s="166"/>
      <c r="J419" s="167"/>
      <c r="K419" s="168"/>
      <c r="L419" s="169"/>
      <c r="M419" s="170"/>
      <c r="N419" s="83"/>
      <c r="O419" s="171"/>
      <c r="P419" s="172"/>
      <c r="S419" s="140"/>
    </row>
    <row r="420" spans="1:19" ht="24" customHeight="1">
      <c r="A420" s="164"/>
      <c r="B420" s="165"/>
      <c r="C420" s="165"/>
      <c r="D420" s="165"/>
      <c r="E420" s="165"/>
      <c r="F420" s="165"/>
      <c r="G420" s="165"/>
      <c r="H420" s="165"/>
      <c r="I420" s="166"/>
      <c r="J420" s="167"/>
      <c r="K420" s="168"/>
      <c r="L420" s="169"/>
      <c r="M420" s="170"/>
      <c r="N420" s="83"/>
      <c r="O420" s="171"/>
      <c r="P420" s="172"/>
      <c r="S420" s="140"/>
    </row>
    <row r="421" spans="1:19" ht="24" customHeight="1">
      <c r="A421" s="164"/>
      <c r="B421" s="165"/>
      <c r="C421" s="165"/>
      <c r="D421" s="165"/>
      <c r="E421" s="165"/>
      <c r="F421" s="165"/>
      <c r="G421" s="165"/>
      <c r="H421" s="165"/>
      <c r="I421" s="166"/>
      <c r="J421" s="167"/>
      <c r="K421" s="168"/>
      <c r="L421" s="169"/>
      <c r="M421" s="170"/>
      <c r="N421" s="83"/>
      <c r="O421" s="171"/>
      <c r="P421" s="172"/>
      <c r="S421" s="140"/>
    </row>
    <row r="422" spans="1:19" ht="24" customHeight="1">
      <c r="A422" s="164"/>
      <c r="B422" s="165"/>
      <c r="C422" s="165"/>
      <c r="D422" s="165"/>
      <c r="E422" s="165"/>
      <c r="F422" s="165"/>
      <c r="G422" s="165"/>
      <c r="H422" s="165"/>
      <c r="I422" s="166"/>
      <c r="J422" s="167"/>
      <c r="K422" s="168"/>
      <c r="L422" s="169"/>
      <c r="M422" s="170"/>
      <c r="N422" s="83"/>
      <c r="O422" s="171"/>
      <c r="P422" s="172"/>
      <c r="S422" s="140"/>
    </row>
    <row r="423" spans="1:19" ht="24" customHeight="1">
      <c r="A423" s="164"/>
      <c r="B423" s="165"/>
      <c r="C423" s="165"/>
      <c r="D423" s="165"/>
      <c r="E423" s="165"/>
      <c r="F423" s="165"/>
      <c r="G423" s="165"/>
      <c r="H423" s="165"/>
      <c r="I423" s="166"/>
      <c r="J423" s="167"/>
      <c r="K423" s="168"/>
      <c r="L423" s="169"/>
      <c r="M423" s="170"/>
      <c r="N423" s="83"/>
      <c r="O423" s="171"/>
      <c r="P423" s="172"/>
      <c r="S423" s="140"/>
    </row>
    <row r="424" spans="1:19" ht="24" customHeight="1">
      <c r="A424" s="164"/>
      <c r="B424" s="165"/>
      <c r="C424" s="165"/>
      <c r="D424" s="165"/>
      <c r="E424" s="165"/>
      <c r="F424" s="165"/>
      <c r="G424" s="165"/>
      <c r="H424" s="165"/>
      <c r="I424" s="166"/>
      <c r="J424" s="167"/>
      <c r="K424" s="168"/>
      <c r="L424" s="169"/>
      <c r="M424" s="170"/>
      <c r="N424" s="83"/>
      <c r="O424" s="171"/>
      <c r="P424" s="172"/>
      <c r="S424" s="140"/>
    </row>
    <row r="425" spans="1:19" ht="24" customHeight="1">
      <c r="A425" s="164"/>
      <c r="B425" s="165"/>
      <c r="C425" s="165"/>
      <c r="D425" s="165"/>
      <c r="E425" s="165"/>
      <c r="F425" s="165"/>
      <c r="G425" s="165"/>
      <c r="H425" s="165"/>
      <c r="I425" s="166"/>
      <c r="J425" s="167"/>
      <c r="K425" s="168"/>
      <c r="L425" s="169"/>
      <c r="M425" s="170"/>
      <c r="N425" s="83"/>
      <c r="O425" s="171"/>
      <c r="P425" s="172"/>
      <c r="S425" s="140"/>
    </row>
    <row r="426" spans="1:19" ht="24" customHeight="1">
      <c r="A426" s="164"/>
      <c r="B426" s="165"/>
      <c r="C426" s="165"/>
      <c r="D426" s="165"/>
      <c r="E426" s="165"/>
      <c r="F426" s="165"/>
      <c r="G426" s="165"/>
      <c r="H426" s="165"/>
      <c r="I426" s="166"/>
      <c r="J426" s="167"/>
      <c r="K426" s="168"/>
      <c r="L426" s="169"/>
      <c r="M426" s="170"/>
      <c r="N426" s="83"/>
      <c r="O426" s="171"/>
      <c r="P426" s="172"/>
      <c r="S426" s="140"/>
    </row>
    <row r="427" spans="1:19" ht="24" customHeight="1">
      <c r="A427" s="164"/>
      <c r="B427" s="165"/>
      <c r="C427" s="165"/>
      <c r="D427" s="165"/>
      <c r="E427" s="165"/>
      <c r="F427" s="165"/>
      <c r="G427" s="165"/>
      <c r="H427" s="165"/>
      <c r="I427" s="166"/>
      <c r="J427" s="167"/>
      <c r="K427" s="168"/>
      <c r="L427" s="169"/>
      <c r="M427" s="170"/>
      <c r="N427" s="83"/>
      <c r="O427" s="171"/>
      <c r="P427" s="172"/>
      <c r="S427" s="140"/>
    </row>
    <row r="428" spans="1:19" ht="24" customHeight="1">
      <c r="A428" s="164"/>
      <c r="B428" s="165"/>
      <c r="C428" s="165"/>
      <c r="D428" s="165"/>
      <c r="E428" s="165"/>
      <c r="F428" s="165"/>
      <c r="G428" s="165"/>
      <c r="H428" s="165"/>
      <c r="I428" s="166"/>
      <c r="J428" s="167"/>
      <c r="K428" s="168"/>
      <c r="L428" s="169"/>
      <c r="M428" s="170"/>
      <c r="N428" s="83"/>
      <c r="O428" s="171"/>
      <c r="P428" s="172"/>
      <c r="S428" s="140"/>
    </row>
    <row r="429" spans="1:19" ht="24" customHeight="1">
      <c r="A429" s="164"/>
      <c r="B429" s="165"/>
      <c r="C429" s="165"/>
      <c r="D429" s="165"/>
      <c r="E429" s="165"/>
      <c r="F429" s="165"/>
      <c r="G429" s="165"/>
      <c r="H429" s="165"/>
      <c r="I429" s="166"/>
      <c r="J429" s="167"/>
      <c r="K429" s="168"/>
      <c r="L429" s="169"/>
      <c r="M429" s="170"/>
      <c r="N429" s="83"/>
      <c r="O429" s="171"/>
      <c r="P429" s="172"/>
      <c r="S429" s="140"/>
    </row>
    <row r="430" spans="1:19" ht="24" customHeight="1">
      <c r="A430" s="164"/>
      <c r="B430" s="165"/>
      <c r="C430" s="165"/>
      <c r="D430" s="165"/>
      <c r="E430" s="165"/>
      <c r="F430" s="165"/>
      <c r="G430" s="165"/>
      <c r="H430" s="165"/>
      <c r="I430" s="166"/>
      <c r="J430" s="167"/>
      <c r="K430" s="168"/>
      <c r="L430" s="169"/>
      <c r="M430" s="170"/>
      <c r="N430" s="83"/>
      <c r="O430" s="171"/>
      <c r="P430" s="172"/>
      <c r="S430" s="140"/>
    </row>
    <row r="431" spans="1:19" ht="24" customHeight="1">
      <c r="A431" s="164"/>
      <c r="B431" s="165"/>
      <c r="C431" s="165"/>
      <c r="D431" s="165"/>
      <c r="E431" s="165"/>
      <c r="F431" s="165"/>
      <c r="G431" s="165"/>
      <c r="H431" s="165"/>
      <c r="I431" s="166"/>
      <c r="J431" s="167"/>
      <c r="K431" s="168"/>
      <c r="L431" s="169"/>
      <c r="M431" s="170"/>
      <c r="N431" s="83"/>
      <c r="O431" s="171"/>
      <c r="P431" s="172"/>
      <c r="S431" s="140"/>
    </row>
    <row r="432" spans="1:19" ht="24" customHeight="1">
      <c r="A432" s="164"/>
      <c r="B432" s="165"/>
      <c r="C432" s="165"/>
      <c r="D432" s="165"/>
      <c r="E432" s="165"/>
      <c r="F432" s="165"/>
      <c r="G432" s="165"/>
      <c r="H432" s="165"/>
      <c r="I432" s="166"/>
      <c r="J432" s="167"/>
      <c r="K432" s="168"/>
      <c r="L432" s="169"/>
      <c r="M432" s="170"/>
      <c r="N432" s="83"/>
      <c r="O432" s="171"/>
      <c r="P432" s="172"/>
      <c r="S432" s="140"/>
    </row>
    <row r="433" spans="1:19" ht="24" customHeight="1">
      <c r="A433" s="164"/>
      <c r="B433" s="165"/>
      <c r="C433" s="165"/>
      <c r="D433" s="165"/>
      <c r="E433" s="165"/>
      <c r="F433" s="165"/>
      <c r="G433" s="165"/>
      <c r="H433" s="165"/>
      <c r="I433" s="166"/>
      <c r="J433" s="167"/>
      <c r="K433" s="168"/>
      <c r="L433" s="169"/>
      <c r="M433" s="170"/>
      <c r="N433" s="83"/>
      <c r="O433" s="171"/>
      <c r="P433" s="172"/>
      <c r="S433" s="140"/>
    </row>
    <row r="434" spans="1:19" ht="24" customHeight="1">
      <c r="A434" s="164"/>
      <c r="B434" s="165"/>
      <c r="C434" s="165"/>
      <c r="D434" s="165"/>
      <c r="E434" s="165"/>
      <c r="F434" s="165"/>
      <c r="G434" s="165"/>
      <c r="H434" s="165"/>
      <c r="I434" s="166"/>
      <c r="J434" s="167"/>
      <c r="K434" s="168"/>
      <c r="L434" s="169"/>
      <c r="M434" s="170"/>
      <c r="N434" s="83"/>
      <c r="O434" s="171"/>
      <c r="P434" s="172"/>
      <c r="S434" s="140"/>
    </row>
    <row r="435" spans="1:19" ht="24" customHeight="1">
      <c r="A435" s="164"/>
      <c r="B435" s="165"/>
      <c r="C435" s="165"/>
      <c r="D435" s="165"/>
      <c r="E435" s="165"/>
      <c r="F435" s="165"/>
      <c r="G435" s="165"/>
      <c r="H435" s="165"/>
      <c r="I435" s="166"/>
      <c r="J435" s="167"/>
      <c r="K435" s="168"/>
      <c r="L435" s="169"/>
      <c r="M435" s="170"/>
      <c r="N435" s="83"/>
      <c r="O435" s="171"/>
      <c r="P435" s="172"/>
      <c r="S435" s="140"/>
    </row>
    <row r="436" spans="1:19" ht="24" customHeight="1">
      <c r="A436" s="164"/>
      <c r="B436" s="165"/>
      <c r="C436" s="165"/>
      <c r="D436" s="165"/>
      <c r="E436" s="165"/>
      <c r="F436" s="165"/>
      <c r="G436" s="165"/>
      <c r="H436" s="165"/>
      <c r="I436" s="166"/>
      <c r="J436" s="167"/>
      <c r="K436" s="168"/>
      <c r="L436" s="169"/>
      <c r="M436" s="170"/>
      <c r="N436" s="83"/>
      <c r="O436" s="171"/>
      <c r="P436" s="172"/>
      <c r="S436" s="140"/>
    </row>
    <row r="437" spans="1:19" ht="24" customHeight="1">
      <c r="A437" s="164"/>
      <c r="B437" s="165"/>
      <c r="C437" s="165"/>
      <c r="D437" s="165"/>
      <c r="E437" s="165"/>
      <c r="F437" s="165"/>
      <c r="G437" s="165"/>
      <c r="H437" s="165"/>
      <c r="I437" s="166"/>
      <c r="J437" s="167"/>
      <c r="K437" s="168"/>
      <c r="L437" s="169"/>
      <c r="M437" s="170"/>
      <c r="N437" s="83"/>
      <c r="O437" s="171"/>
      <c r="P437" s="172"/>
      <c r="S437" s="140"/>
    </row>
    <row r="438" spans="1:19" ht="24" customHeight="1">
      <c r="A438" s="164"/>
      <c r="B438" s="165"/>
      <c r="C438" s="165"/>
      <c r="D438" s="165"/>
      <c r="E438" s="165"/>
      <c r="F438" s="165"/>
      <c r="G438" s="165"/>
      <c r="H438" s="165"/>
      <c r="I438" s="166"/>
      <c r="J438" s="167"/>
      <c r="K438" s="168"/>
      <c r="L438" s="169"/>
      <c r="M438" s="170"/>
      <c r="N438" s="83"/>
      <c r="O438" s="171"/>
      <c r="P438" s="172"/>
      <c r="S438" s="140"/>
    </row>
    <row r="439" spans="1:19" ht="24" customHeight="1">
      <c r="A439" s="164"/>
      <c r="B439" s="165"/>
      <c r="C439" s="165"/>
      <c r="D439" s="165"/>
      <c r="E439" s="165"/>
      <c r="F439" s="165"/>
      <c r="G439" s="165"/>
      <c r="H439" s="165"/>
      <c r="I439" s="166"/>
      <c r="J439" s="167"/>
      <c r="K439" s="168"/>
      <c r="L439" s="169"/>
      <c r="M439" s="170"/>
      <c r="N439" s="83"/>
      <c r="O439" s="171"/>
      <c r="P439" s="172"/>
      <c r="S439" s="140"/>
    </row>
    <row r="440" spans="1:19" ht="24" customHeight="1">
      <c r="A440" s="164"/>
      <c r="B440" s="165"/>
      <c r="C440" s="165"/>
      <c r="D440" s="165"/>
      <c r="E440" s="165"/>
      <c r="F440" s="165"/>
      <c r="G440" s="165"/>
      <c r="H440" s="165"/>
      <c r="I440" s="166"/>
      <c r="J440" s="167"/>
      <c r="K440" s="168"/>
      <c r="L440" s="169"/>
      <c r="M440" s="170"/>
      <c r="N440" s="83"/>
      <c r="O440" s="171"/>
      <c r="P440" s="172"/>
      <c r="S440" s="140"/>
    </row>
    <row r="441" spans="1:19" ht="24" customHeight="1">
      <c r="A441" s="164"/>
      <c r="B441" s="165"/>
      <c r="C441" s="165"/>
      <c r="D441" s="165"/>
      <c r="E441" s="165"/>
      <c r="F441" s="165"/>
      <c r="G441" s="165"/>
      <c r="H441" s="165"/>
      <c r="I441" s="166"/>
      <c r="J441" s="167"/>
      <c r="K441" s="168"/>
      <c r="L441" s="169"/>
      <c r="M441" s="170"/>
      <c r="N441" s="83"/>
      <c r="O441" s="171"/>
      <c r="P441" s="172"/>
      <c r="S441" s="140"/>
    </row>
    <row r="442" spans="1:19" ht="24" customHeight="1">
      <c r="A442" s="164"/>
      <c r="B442" s="165"/>
      <c r="C442" s="165"/>
      <c r="D442" s="165"/>
      <c r="E442" s="165"/>
      <c r="F442" s="165"/>
      <c r="G442" s="165"/>
      <c r="H442" s="165"/>
      <c r="I442" s="166"/>
      <c r="J442" s="167"/>
      <c r="K442" s="168"/>
      <c r="L442" s="169"/>
      <c r="M442" s="170"/>
      <c r="N442" s="83"/>
      <c r="O442" s="171"/>
      <c r="P442" s="172"/>
      <c r="S442" s="140"/>
    </row>
    <row r="443" spans="1:19" ht="24" customHeight="1">
      <c r="A443" s="164"/>
      <c r="B443" s="165"/>
      <c r="C443" s="165"/>
      <c r="D443" s="165"/>
      <c r="E443" s="165"/>
      <c r="F443" s="165"/>
      <c r="G443" s="165"/>
      <c r="H443" s="165"/>
      <c r="I443" s="166"/>
      <c r="J443" s="167"/>
      <c r="K443" s="168"/>
      <c r="L443" s="169"/>
      <c r="M443" s="170"/>
      <c r="N443" s="83"/>
      <c r="O443" s="171"/>
      <c r="P443" s="172"/>
      <c r="S443" s="140"/>
    </row>
    <row r="444" spans="1:19" ht="24" customHeight="1">
      <c r="A444" s="164"/>
      <c r="B444" s="165"/>
      <c r="C444" s="165"/>
      <c r="D444" s="165"/>
      <c r="E444" s="165"/>
      <c r="F444" s="165"/>
      <c r="G444" s="165"/>
      <c r="H444" s="165"/>
      <c r="I444" s="166"/>
      <c r="J444" s="167"/>
      <c r="K444" s="168"/>
      <c r="L444" s="169"/>
      <c r="M444" s="170"/>
      <c r="N444" s="83"/>
      <c r="O444" s="171"/>
      <c r="P444" s="172"/>
      <c r="S444" s="140"/>
    </row>
    <row r="445" spans="1:19" ht="24" customHeight="1">
      <c r="A445" s="164"/>
      <c r="B445" s="165"/>
      <c r="C445" s="165"/>
      <c r="D445" s="165"/>
      <c r="E445" s="165"/>
      <c r="F445" s="165"/>
      <c r="G445" s="165"/>
      <c r="H445" s="165"/>
      <c r="I445" s="166"/>
      <c r="J445" s="167"/>
      <c r="K445" s="168"/>
      <c r="L445" s="169"/>
      <c r="M445" s="170"/>
      <c r="N445" s="83"/>
      <c r="O445" s="171"/>
      <c r="P445" s="172"/>
      <c r="S445" s="140"/>
    </row>
    <row r="446" spans="1:19" ht="24" customHeight="1">
      <c r="A446" s="164"/>
      <c r="B446" s="165"/>
      <c r="C446" s="165"/>
      <c r="D446" s="165"/>
      <c r="E446" s="165"/>
      <c r="F446" s="165"/>
      <c r="G446" s="165"/>
      <c r="H446" s="165"/>
      <c r="I446" s="166"/>
      <c r="J446" s="167"/>
      <c r="K446" s="168"/>
      <c r="L446" s="169"/>
      <c r="M446" s="170"/>
      <c r="N446" s="83"/>
      <c r="O446" s="171"/>
      <c r="P446" s="172"/>
      <c r="S446" s="140"/>
    </row>
    <row r="447" spans="1:19" ht="24" customHeight="1">
      <c r="A447" s="164"/>
      <c r="B447" s="165"/>
      <c r="C447" s="165"/>
      <c r="D447" s="165"/>
      <c r="E447" s="165"/>
      <c r="F447" s="165"/>
      <c r="G447" s="165"/>
      <c r="H447" s="165"/>
      <c r="I447" s="166"/>
      <c r="J447" s="167"/>
      <c r="K447" s="168"/>
      <c r="L447" s="169"/>
      <c r="M447" s="170"/>
      <c r="N447" s="83"/>
      <c r="O447" s="171"/>
      <c r="P447" s="172"/>
      <c r="S447" s="140"/>
    </row>
    <row r="448" spans="1:19" ht="24" customHeight="1">
      <c r="A448" s="164"/>
      <c r="B448" s="165"/>
      <c r="C448" s="165"/>
      <c r="D448" s="165"/>
      <c r="E448" s="165"/>
      <c r="F448" s="165"/>
      <c r="G448" s="165"/>
      <c r="H448" s="165"/>
      <c r="I448" s="166"/>
      <c r="J448" s="167"/>
      <c r="K448" s="168"/>
      <c r="L448" s="169"/>
      <c r="M448" s="170"/>
      <c r="N448" s="83"/>
      <c r="O448" s="171"/>
      <c r="P448" s="172"/>
      <c r="S448" s="140"/>
    </row>
    <row r="449" spans="1:19" ht="24" customHeight="1">
      <c r="A449" s="164"/>
      <c r="B449" s="165"/>
      <c r="C449" s="165"/>
      <c r="D449" s="165"/>
      <c r="E449" s="165"/>
      <c r="F449" s="165"/>
      <c r="G449" s="165"/>
      <c r="H449" s="165"/>
      <c r="I449" s="166"/>
      <c r="J449" s="167"/>
      <c r="K449" s="168"/>
      <c r="L449" s="169"/>
      <c r="M449" s="170"/>
      <c r="N449" s="83"/>
      <c r="O449" s="171"/>
      <c r="P449" s="172"/>
      <c r="S449" s="140"/>
    </row>
    <row r="450" spans="1:19" ht="24" customHeight="1">
      <c r="A450" s="164"/>
      <c r="B450" s="165"/>
      <c r="C450" s="165"/>
      <c r="D450" s="165"/>
      <c r="E450" s="165"/>
      <c r="F450" s="165"/>
      <c r="G450" s="165"/>
      <c r="H450" s="165"/>
      <c r="I450" s="166"/>
      <c r="J450" s="167"/>
      <c r="K450" s="168"/>
      <c r="L450" s="169"/>
      <c r="M450" s="170"/>
      <c r="N450" s="83"/>
      <c r="O450" s="171"/>
      <c r="P450" s="172"/>
      <c r="S450" s="140"/>
    </row>
    <row r="451" spans="1:19" ht="24" customHeight="1">
      <c r="A451" s="164"/>
      <c r="B451" s="165"/>
      <c r="C451" s="165"/>
      <c r="D451" s="165"/>
      <c r="E451" s="165"/>
      <c r="F451" s="165"/>
      <c r="G451" s="165"/>
      <c r="H451" s="165"/>
      <c r="I451" s="166"/>
      <c r="J451" s="167"/>
      <c r="K451" s="168"/>
      <c r="L451" s="169"/>
      <c r="M451" s="170"/>
      <c r="N451" s="83"/>
      <c r="O451" s="171"/>
      <c r="P451" s="172"/>
      <c r="S451" s="140"/>
    </row>
    <row r="452" spans="1:19" ht="24" customHeight="1">
      <c r="A452" s="164"/>
      <c r="B452" s="165"/>
      <c r="C452" s="165"/>
      <c r="D452" s="165"/>
      <c r="E452" s="165"/>
      <c r="F452" s="165"/>
      <c r="G452" s="165"/>
      <c r="H452" s="165"/>
      <c r="I452" s="166"/>
      <c r="J452" s="167"/>
      <c r="K452" s="168"/>
      <c r="L452" s="169"/>
      <c r="M452" s="170"/>
      <c r="N452" s="83"/>
      <c r="O452" s="171"/>
      <c r="P452" s="172"/>
      <c r="S452" s="140"/>
    </row>
    <row r="453" spans="1:19" ht="24" customHeight="1">
      <c r="A453" s="164"/>
      <c r="B453" s="165"/>
      <c r="C453" s="165"/>
      <c r="D453" s="165"/>
      <c r="E453" s="165"/>
      <c r="F453" s="165"/>
      <c r="G453" s="165"/>
      <c r="H453" s="165"/>
      <c r="I453" s="166"/>
      <c r="J453" s="167"/>
      <c r="K453" s="168"/>
      <c r="L453" s="169"/>
      <c r="M453" s="170"/>
      <c r="N453" s="83"/>
      <c r="O453" s="171"/>
      <c r="P453" s="172"/>
      <c r="S453" s="140"/>
    </row>
    <row r="454" spans="1:19" ht="24" customHeight="1">
      <c r="A454" s="164"/>
      <c r="B454" s="165"/>
      <c r="C454" s="165"/>
      <c r="D454" s="165"/>
      <c r="E454" s="165"/>
      <c r="F454" s="165"/>
      <c r="G454" s="165"/>
      <c r="H454" s="165"/>
      <c r="I454" s="166"/>
      <c r="J454" s="167"/>
      <c r="K454" s="168"/>
      <c r="L454" s="169"/>
      <c r="M454" s="170"/>
      <c r="N454" s="83"/>
      <c r="O454" s="171"/>
      <c r="P454" s="172"/>
      <c r="S454" s="140"/>
    </row>
    <row r="455" spans="1:19" ht="24" customHeight="1">
      <c r="A455" s="164"/>
      <c r="B455" s="165"/>
      <c r="C455" s="165"/>
      <c r="D455" s="165"/>
      <c r="E455" s="165"/>
      <c r="F455" s="165"/>
      <c r="G455" s="165"/>
      <c r="H455" s="165"/>
      <c r="I455" s="166"/>
      <c r="J455" s="167"/>
      <c r="K455" s="168"/>
      <c r="L455" s="169"/>
      <c r="M455" s="170"/>
      <c r="N455" s="83"/>
      <c r="O455" s="171"/>
      <c r="P455" s="172"/>
      <c r="S455" s="140"/>
    </row>
    <row r="456" spans="1:19" ht="24" customHeight="1">
      <c r="A456" s="164"/>
      <c r="B456" s="165"/>
      <c r="C456" s="165"/>
      <c r="D456" s="165"/>
      <c r="E456" s="165"/>
      <c r="F456" s="165"/>
      <c r="G456" s="165"/>
      <c r="H456" s="165"/>
      <c r="I456" s="166"/>
      <c r="J456" s="167"/>
      <c r="K456" s="168"/>
      <c r="L456" s="169"/>
      <c r="M456" s="170"/>
      <c r="N456" s="83"/>
      <c r="O456" s="171"/>
      <c r="P456" s="172"/>
      <c r="S456" s="140"/>
    </row>
    <row r="457" spans="1:19" ht="24" customHeight="1">
      <c r="A457" s="164"/>
      <c r="B457" s="165"/>
      <c r="C457" s="165"/>
      <c r="D457" s="165"/>
      <c r="E457" s="165"/>
      <c r="F457" s="165"/>
      <c r="G457" s="165"/>
      <c r="H457" s="165"/>
      <c r="I457" s="166"/>
      <c r="J457" s="167"/>
      <c r="K457" s="168"/>
      <c r="L457" s="169"/>
      <c r="M457" s="170"/>
      <c r="N457" s="83"/>
      <c r="O457" s="171"/>
      <c r="P457" s="172"/>
      <c r="S457" s="140"/>
    </row>
    <row r="458" spans="1:19" ht="24" customHeight="1">
      <c r="A458" s="164"/>
      <c r="B458" s="165"/>
      <c r="C458" s="165"/>
      <c r="D458" s="165"/>
      <c r="E458" s="165"/>
      <c r="F458" s="165"/>
      <c r="G458" s="165"/>
      <c r="H458" s="165"/>
      <c r="I458" s="166"/>
      <c r="J458" s="167"/>
      <c r="K458" s="168"/>
      <c r="L458" s="169"/>
      <c r="M458" s="170"/>
      <c r="N458" s="83"/>
      <c r="O458" s="171"/>
      <c r="P458" s="172"/>
      <c r="S458" s="140"/>
    </row>
    <row r="459" spans="1:19" ht="24" customHeight="1">
      <c r="A459" s="164"/>
      <c r="B459" s="165"/>
      <c r="C459" s="165"/>
      <c r="D459" s="165"/>
      <c r="E459" s="165"/>
      <c r="F459" s="165"/>
      <c r="G459" s="165"/>
      <c r="H459" s="165"/>
      <c r="I459" s="166"/>
      <c r="J459" s="167"/>
      <c r="K459" s="168"/>
      <c r="L459" s="169"/>
      <c r="M459" s="170"/>
      <c r="N459" s="83"/>
      <c r="O459" s="171"/>
      <c r="P459" s="172"/>
      <c r="S459" s="140"/>
    </row>
    <row r="460" spans="1:19" ht="24" customHeight="1">
      <c r="A460" s="173"/>
      <c r="B460" s="151"/>
      <c r="C460" s="174"/>
      <c r="D460" s="174"/>
      <c r="E460" s="173"/>
      <c r="F460" s="175"/>
      <c r="G460" s="176"/>
      <c r="H460" s="177"/>
      <c r="I460" s="178"/>
      <c r="J460" s="175"/>
      <c r="K460" s="83"/>
      <c r="L460" s="179"/>
      <c r="M460" s="180"/>
      <c r="N460" s="181"/>
      <c r="O460" s="171"/>
      <c r="P460" s="172"/>
    </row>
    <row r="461" spans="1:19" ht="24" customHeight="1">
      <c r="A461" s="173"/>
      <c r="B461" s="151"/>
      <c r="C461" s="174"/>
      <c r="D461" s="174"/>
      <c r="E461" s="173"/>
      <c r="F461" s="175"/>
      <c r="G461" s="176"/>
      <c r="H461" s="177"/>
      <c r="I461" s="178"/>
      <c r="J461" s="175"/>
      <c r="K461" s="83"/>
      <c r="L461" s="179"/>
      <c r="M461" s="180"/>
      <c r="N461" s="181"/>
      <c r="O461" s="171"/>
      <c r="P461" s="172"/>
    </row>
    <row r="462" spans="1:19" ht="24" customHeight="1">
      <c r="A462" s="173"/>
      <c r="B462" s="151"/>
      <c r="C462" s="174"/>
      <c r="D462" s="174"/>
      <c r="E462" s="173"/>
      <c r="F462" s="169"/>
      <c r="G462" s="182"/>
      <c r="H462" s="177"/>
      <c r="I462" s="178"/>
      <c r="J462" s="175"/>
      <c r="K462" s="151"/>
      <c r="L462" s="179"/>
      <c r="M462" s="180"/>
      <c r="N462" s="181"/>
      <c r="O462" s="171"/>
      <c r="P462" s="172"/>
    </row>
    <row r="463" spans="1:19" ht="24" customHeight="1">
      <c r="A463" s="173"/>
      <c r="B463" s="151"/>
      <c r="C463" s="174"/>
      <c r="D463" s="174"/>
      <c r="E463" s="173"/>
      <c r="F463" s="169"/>
      <c r="G463" s="182"/>
      <c r="H463" s="177"/>
      <c r="I463" s="178"/>
      <c r="J463" s="183"/>
      <c r="K463" s="183"/>
      <c r="L463" s="179"/>
      <c r="M463" s="180"/>
      <c r="N463" s="181"/>
      <c r="O463" s="171"/>
      <c r="P463" s="172"/>
    </row>
  </sheetData>
  <mergeCells count="922"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D8:D11"/>
    <mergeCell ref="E8:E11"/>
    <mergeCell ref="F8:F9"/>
    <mergeCell ref="G8:G9"/>
    <mergeCell ref="J6:J7"/>
    <mergeCell ref="K6:K7"/>
    <mergeCell ref="L6:L7"/>
    <mergeCell ref="M6:N6"/>
    <mergeCell ref="O6:O7"/>
    <mergeCell ref="A16:A19"/>
    <mergeCell ref="C16:C19"/>
    <mergeCell ref="D16:D19"/>
    <mergeCell ref="E16:E19"/>
    <mergeCell ref="H16:H19"/>
    <mergeCell ref="I16:I19"/>
    <mergeCell ref="P8:P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H8:H11"/>
    <mergeCell ref="I8:I11"/>
    <mergeCell ref="L8:L11"/>
    <mergeCell ref="M8:M11"/>
    <mergeCell ref="N8:N11"/>
    <mergeCell ref="O8:O11"/>
    <mergeCell ref="A8:A11"/>
    <mergeCell ref="C8:C11"/>
    <mergeCell ref="L16:L19"/>
    <mergeCell ref="M16:M19"/>
    <mergeCell ref="N16:N19"/>
    <mergeCell ref="O16:O19"/>
    <mergeCell ref="P16:P19"/>
    <mergeCell ref="F18:F19"/>
    <mergeCell ref="G18:G19"/>
    <mergeCell ref="O12:O15"/>
    <mergeCell ref="P12:P15"/>
    <mergeCell ref="F14:F15"/>
    <mergeCell ref="G14:G15"/>
    <mergeCell ref="L20:L23"/>
    <mergeCell ref="M20:M23"/>
    <mergeCell ref="N20:N23"/>
    <mergeCell ref="O20:O23"/>
    <mergeCell ref="P20:P23"/>
    <mergeCell ref="F22:F23"/>
    <mergeCell ref="G22:G23"/>
    <mergeCell ref="A20:A23"/>
    <mergeCell ref="C20:C23"/>
    <mergeCell ref="D20:D23"/>
    <mergeCell ref="E20:E23"/>
    <mergeCell ref="H20:H23"/>
    <mergeCell ref="I20:I23"/>
    <mergeCell ref="P24:P29"/>
    <mergeCell ref="F26:F27"/>
    <mergeCell ref="G26:G27"/>
    <mergeCell ref="F28:F29"/>
    <mergeCell ref="G28:G29"/>
    <mergeCell ref="A30:A33"/>
    <mergeCell ref="C30:C33"/>
    <mergeCell ref="D30:D33"/>
    <mergeCell ref="E30:E33"/>
    <mergeCell ref="F30:F33"/>
    <mergeCell ref="H24:H29"/>
    <mergeCell ref="I24:I29"/>
    <mergeCell ref="L24:L29"/>
    <mergeCell ref="M24:M29"/>
    <mergeCell ref="N24:N29"/>
    <mergeCell ref="O24:O29"/>
    <mergeCell ref="A24:A29"/>
    <mergeCell ref="C24:C29"/>
    <mergeCell ref="D24:D29"/>
    <mergeCell ref="E24:E29"/>
    <mergeCell ref="F24:F25"/>
    <mergeCell ref="G24:G25"/>
    <mergeCell ref="O30:O33"/>
    <mergeCell ref="P30:P33"/>
    <mergeCell ref="N30:N33"/>
    <mergeCell ref="L34:L37"/>
    <mergeCell ref="M34:M37"/>
    <mergeCell ref="N34:N37"/>
    <mergeCell ref="O34:O37"/>
    <mergeCell ref="P34:P37"/>
    <mergeCell ref="A38:A41"/>
    <mergeCell ref="C38:C41"/>
    <mergeCell ref="D38:D41"/>
    <mergeCell ref="E38:E41"/>
    <mergeCell ref="F38:F41"/>
    <mergeCell ref="O38:O41"/>
    <mergeCell ref="P38:P41"/>
    <mergeCell ref="N38:N41"/>
    <mergeCell ref="A34:A37"/>
    <mergeCell ref="C34:C37"/>
    <mergeCell ref="D34:D37"/>
    <mergeCell ref="E34:E37"/>
    <mergeCell ref="F34:F37"/>
    <mergeCell ref="G34:G37"/>
    <mergeCell ref="H34:H37"/>
    <mergeCell ref="I34:I37"/>
    <mergeCell ref="G30:G33"/>
    <mergeCell ref="H30:H33"/>
    <mergeCell ref="L42:L45"/>
    <mergeCell ref="M42:M45"/>
    <mergeCell ref="G38:G41"/>
    <mergeCell ref="H38:H41"/>
    <mergeCell ref="I38:I41"/>
    <mergeCell ref="L38:L41"/>
    <mergeCell ref="M38:M41"/>
    <mergeCell ref="L30:L33"/>
    <mergeCell ref="M30:M33"/>
    <mergeCell ref="I30:I33"/>
    <mergeCell ref="G46:G49"/>
    <mergeCell ref="H46:H49"/>
    <mergeCell ref="I46:I49"/>
    <mergeCell ref="N42:N45"/>
    <mergeCell ref="O42:O45"/>
    <mergeCell ref="P42:P45"/>
    <mergeCell ref="F44:F45"/>
    <mergeCell ref="G44:G45"/>
    <mergeCell ref="A46:A49"/>
    <mergeCell ref="C46:C49"/>
    <mergeCell ref="D46:D49"/>
    <mergeCell ref="E46:E49"/>
    <mergeCell ref="F46:F49"/>
    <mergeCell ref="O46:O49"/>
    <mergeCell ref="P46:P49"/>
    <mergeCell ref="L46:L49"/>
    <mergeCell ref="M46:M49"/>
    <mergeCell ref="N46:N49"/>
    <mergeCell ref="A42:A45"/>
    <mergeCell ref="C42:C45"/>
    <mergeCell ref="D42:D45"/>
    <mergeCell ref="E42:E45"/>
    <mergeCell ref="H42:H45"/>
    <mergeCell ref="I42:I45"/>
    <mergeCell ref="N50:N53"/>
    <mergeCell ref="O50:O53"/>
    <mergeCell ref="P50:P53"/>
    <mergeCell ref="A54:A57"/>
    <mergeCell ref="C54:C57"/>
    <mergeCell ref="D54:D57"/>
    <mergeCell ref="E54:E57"/>
    <mergeCell ref="F54:F55"/>
    <mergeCell ref="O54:O57"/>
    <mergeCell ref="P54:P57"/>
    <mergeCell ref="F56:F57"/>
    <mergeCell ref="G56:G57"/>
    <mergeCell ref="L54:L57"/>
    <mergeCell ref="M54:M57"/>
    <mergeCell ref="N54:N57"/>
    <mergeCell ref="A50:A53"/>
    <mergeCell ref="C50:C53"/>
    <mergeCell ref="D50:D53"/>
    <mergeCell ref="E50:E53"/>
    <mergeCell ref="F50:F53"/>
    <mergeCell ref="G50:G53"/>
    <mergeCell ref="H50:H53"/>
    <mergeCell ref="I50:I53"/>
    <mergeCell ref="D58:D61"/>
    <mergeCell ref="E58:E61"/>
    <mergeCell ref="F58:F61"/>
    <mergeCell ref="G58:G61"/>
    <mergeCell ref="G54:G55"/>
    <mergeCell ref="H54:H57"/>
    <mergeCell ref="I54:I57"/>
    <mergeCell ref="L50:L53"/>
    <mergeCell ref="M50:M53"/>
    <mergeCell ref="O62:O66"/>
    <mergeCell ref="P62:P66"/>
    <mergeCell ref="F63:F64"/>
    <mergeCell ref="G63:G64"/>
    <mergeCell ref="F65:F66"/>
    <mergeCell ref="G65:G66"/>
    <mergeCell ref="P58:P61"/>
    <mergeCell ref="A62:A66"/>
    <mergeCell ref="C62:C66"/>
    <mergeCell ref="D62:D66"/>
    <mergeCell ref="E62:E66"/>
    <mergeCell ref="H62:H66"/>
    <mergeCell ref="I62:I66"/>
    <mergeCell ref="L62:L66"/>
    <mergeCell ref="M62:M66"/>
    <mergeCell ref="N62:N66"/>
    <mergeCell ref="H58:H61"/>
    <mergeCell ref="I58:I61"/>
    <mergeCell ref="L58:L61"/>
    <mergeCell ref="M58:M61"/>
    <mergeCell ref="N58:N61"/>
    <mergeCell ref="O58:O61"/>
    <mergeCell ref="A58:A61"/>
    <mergeCell ref="C58:C61"/>
    <mergeCell ref="P67:P70"/>
    <mergeCell ref="A71:A74"/>
    <mergeCell ref="C71:C74"/>
    <mergeCell ref="D71:D74"/>
    <mergeCell ref="E71:E74"/>
    <mergeCell ref="H71:H74"/>
    <mergeCell ref="I71:I74"/>
    <mergeCell ref="L71:L74"/>
    <mergeCell ref="M71:M74"/>
    <mergeCell ref="N71:N74"/>
    <mergeCell ref="H67:H70"/>
    <mergeCell ref="I67:I70"/>
    <mergeCell ref="L67:L70"/>
    <mergeCell ref="M67:M70"/>
    <mergeCell ref="N67:N70"/>
    <mergeCell ref="O67:O70"/>
    <mergeCell ref="A67:A70"/>
    <mergeCell ref="C67:C70"/>
    <mergeCell ref="D67:D70"/>
    <mergeCell ref="E67:E70"/>
    <mergeCell ref="F67:F70"/>
    <mergeCell ref="G67:G70"/>
    <mergeCell ref="O71:O74"/>
    <mergeCell ref="P71:P74"/>
    <mergeCell ref="F73:F74"/>
    <mergeCell ref="G73:G74"/>
    <mergeCell ref="A75:A78"/>
    <mergeCell ref="C75:C78"/>
    <mergeCell ref="D75:D78"/>
    <mergeCell ref="E75:E78"/>
    <mergeCell ref="F75:F76"/>
    <mergeCell ref="G75:G76"/>
    <mergeCell ref="P75:P78"/>
    <mergeCell ref="H75:H78"/>
    <mergeCell ref="I75:I78"/>
    <mergeCell ref="L75:L78"/>
    <mergeCell ref="M75:M78"/>
    <mergeCell ref="N75:N78"/>
    <mergeCell ref="O75:O78"/>
    <mergeCell ref="A79:A84"/>
    <mergeCell ref="C79:C84"/>
    <mergeCell ref="D79:D84"/>
    <mergeCell ref="E79:E84"/>
    <mergeCell ref="F79:F80"/>
    <mergeCell ref="G79:G80"/>
    <mergeCell ref="H79:H84"/>
    <mergeCell ref="I79:I84"/>
    <mergeCell ref="L79:L84"/>
    <mergeCell ref="D85:D88"/>
    <mergeCell ref="E85:E88"/>
    <mergeCell ref="F85:F88"/>
    <mergeCell ref="G85:G88"/>
    <mergeCell ref="M79:M84"/>
    <mergeCell ref="N79:N84"/>
    <mergeCell ref="O79:O84"/>
    <mergeCell ref="P79:P84"/>
    <mergeCell ref="F81:F83"/>
    <mergeCell ref="G81:G83"/>
    <mergeCell ref="A93:A96"/>
    <mergeCell ref="C93:C96"/>
    <mergeCell ref="D93:D96"/>
    <mergeCell ref="E93:E96"/>
    <mergeCell ref="H93:H96"/>
    <mergeCell ref="I93:I96"/>
    <mergeCell ref="P85:P88"/>
    <mergeCell ref="A89:A92"/>
    <mergeCell ref="C89:C92"/>
    <mergeCell ref="D89:D92"/>
    <mergeCell ref="E89:E92"/>
    <mergeCell ref="F89:F92"/>
    <mergeCell ref="G89:G92"/>
    <mergeCell ref="H89:H92"/>
    <mergeCell ref="I89:I92"/>
    <mergeCell ref="L89:L92"/>
    <mergeCell ref="H85:H88"/>
    <mergeCell ref="I85:I88"/>
    <mergeCell ref="L85:L88"/>
    <mergeCell ref="M85:M88"/>
    <mergeCell ref="N85:N88"/>
    <mergeCell ref="O85:O88"/>
    <mergeCell ref="A85:A88"/>
    <mergeCell ref="C85:C88"/>
    <mergeCell ref="L93:L96"/>
    <mergeCell ref="M93:M96"/>
    <mergeCell ref="N93:N96"/>
    <mergeCell ref="O93:O96"/>
    <mergeCell ref="P93:P96"/>
    <mergeCell ref="F95:F96"/>
    <mergeCell ref="G95:G96"/>
    <mergeCell ref="M89:M92"/>
    <mergeCell ref="N89:N92"/>
    <mergeCell ref="O89:O92"/>
    <mergeCell ref="P89:P92"/>
    <mergeCell ref="P97:P100"/>
    <mergeCell ref="A101:A105"/>
    <mergeCell ref="C101:C105"/>
    <mergeCell ref="D101:D105"/>
    <mergeCell ref="E101:E105"/>
    <mergeCell ref="H101:H105"/>
    <mergeCell ref="I101:I105"/>
    <mergeCell ref="L101:L105"/>
    <mergeCell ref="M101:M105"/>
    <mergeCell ref="N101:N105"/>
    <mergeCell ref="H97:H100"/>
    <mergeCell ref="I97:I100"/>
    <mergeCell ref="L97:L100"/>
    <mergeCell ref="M97:M100"/>
    <mergeCell ref="N97:N100"/>
    <mergeCell ref="O97:O100"/>
    <mergeCell ref="A97:A100"/>
    <mergeCell ref="C97:C100"/>
    <mergeCell ref="D97:D100"/>
    <mergeCell ref="E97:E100"/>
    <mergeCell ref="F97:F100"/>
    <mergeCell ref="G97:G100"/>
    <mergeCell ref="O101:O105"/>
    <mergeCell ref="P101:P105"/>
    <mergeCell ref="N110:N114"/>
    <mergeCell ref="O110:O114"/>
    <mergeCell ref="P110:P114"/>
    <mergeCell ref="L106:L109"/>
    <mergeCell ref="M106:M109"/>
    <mergeCell ref="N106:N109"/>
    <mergeCell ref="O106:O109"/>
    <mergeCell ref="P106:P109"/>
    <mergeCell ref="A106:A109"/>
    <mergeCell ref="C106:C109"/>
    <mergeCell ref="D106:D109"/>
    <mergeCell ref="E106:E109"/>
    <mergeCell ref="F106:F107"/>
    <mergeCell ref="G106:G107"/>
    <mergeCell ref="H106:H109"/>
    <mergeCell ref="I106:I109"/>
    <mergeCell ref="L110:L114"/>
    <mergeCell ref="F111:F112"/>
    <mergeCell ref="G111:G112"/>
    <mergeCell ref="F115:F118"/>
    <mergeCell ref="G115:G118"/>
    <mergeCell ref="I110:I114"/>
    <mergeCell ref="A110:A114"/>
    <mergeCell ref="C110:C114"/>
    <mergeCell ref="D110:D114"/>
    <mergeCell ref="E110:E114"/>
    <mergeCell ref="H110:H114"/>
    <mergeCell ref="M110:M114"/>
    <mergeCell ref="P115:P118"/>
    <mergeCell ref="A119:A122"/>
    <mergeCell ref="C119:C122"/>
    <mergeCell ref="D119:D122"/>
    <mergeCell ref="E119:E122"/>
    <mergeCell ref="F119:F122"/>
    <mergeCell ref="G119:G122"/>
    <mergeCell ref="H119:H122"/>
    <mergeCell ref="I119:I122"/>
    <mergeCell ref="L119:L122"/>
    <mergeCell ref="H115:H118"/>
    <mergeCell ref="I115:I118"/>
    <mergeCell ref="L115:L118"/>
    <mergeCell ref="M115:M118"/>
    <mergeCell ref="N115:N118"/>
    <mergeCell ref="O115:O118"/>
    <mergeCell ref="M119:M122"/>
    <mergeCell ref="N119:N122"/>
    <mergeCell ref="O119:O122"/>
    <mergeCell ref="P119:P122"/>
    <mergeCell ref="A115:A118"/>
    <mergeCell ref="C115:C118"/>
    <mergeCell ref="D115:D118"/>
    <mergeCell ref="E115:E118"/>
    <mergeCell ref="A123:A126"/>
    <mergeCell ref="C123:C126"/>
    <mergeCell ref="D123:D126"/>
    <mergeCell ref="E123:E126"/>
    <mergeCell ref="H123:H126"/>
    <mergeCell ref="I123:I126"/>
    <mergeCell ref="D127:D130"/>
    <mergeCell ref="E127:E130"/>
    <mergeCell ref="F127:F130"/>
    <mergeCell ref="G127:G130"/>
    <mergeCell ref="I127:I130"/>
    <mergeCell ref="L123:L126"/>
    <mergeCell ref="M123:M126"/>
    <mergeCell ref="N123:N126"/>
    <mergeCell ref="O123:O126"/>
    <mergeCell ref="P123:P126"/>
    <mergeCell ref="F124:F125"/>
    <mergeCell ref="G124:G125"/>
    <mergeCell ref="A135:A138"/>
    <mergeCell ref="C135:C138"/>
    <mergeCell ref="D135:D138"/>
    <mergeCell ref="E135:E138"/>
    <mergeCell ref="H135:H138"/>
    <mergeCell ref="I135:I138"/>
    <mergeCell ref="P127:P130"/>
    <mergeCell ref="A131:A134"/>
    <mergeCell ref="C131:C134"/>
    <mergeCell ref="D131:D134"/>
    <mergeCell ref="E131:E134"/>
    <mergeCell ref="F131:F132"/>
    <mergeCell ref="G131:G132"/>
    <mergeCell ref="H131:H134"/>
    <mergeCell ref="I131:I134"/>
    <mergeCell ref="L131:L134"/>
    <mergeCell ref="H127:H130"/>
    <mergeCell ref="L127:L130"/>
    <mergeCell ref="M127:M130"/>
    <mergeCell ref="N127:N130"/>
    <mergeCell ref="O127:O130"/>
    <mergeCell ref="A127:A130"/>
    <mergeCell ref="C127:C130"/>
    <mergeCell ref="L135:L138"/>
    <mergeCell ref="M135:M138"/>
    <mergeCell ref="N135:N138"/>
    <mergeCell ref="O135:O138"/>
    <mergeCell ref="P135:P138"/>
    <mergeCell ref="F137:F138"/>
    <mergeCell ref="G137:G138"/>
    <mergeCell ref="M131:M134"/>
    <mergeCell ref="N131:N134"/>
    <mergeCell ref="O131:O134"/>
    <mergeCell ref="P131:P134"/>
    <mergeCell ref="L139:L145"/>
    <mergeCell ref="M139:M145"/>
    <mergeCell ref="N139:N145"/>
    <mergeCell ref="O139:O145"/>
    <mergeCell ref="P139:P145"/>
    <mergeCell ref="F142:F143"/>
    <mergeCell ref="G142:G143"/>
    <mergeCell ref="A139:A145"/>
    <mergeCell ref="C139:C145"/>
    <mergeCell ref="D139:D145"/>
    <mergeCell ref="E139:E145"/>
    <mergeCell ref="H139:H145"/>
    <mergeCell ref="I139:I145"/>
    <mergeCell ref="P146:P156"/>
    <mergeCell ref="A157:A160"/>
    <mergeCell ref="C157:C160"/>
    <mergeCell ref="D157:D160"/>
    <mergeCell ref="E157:E160"/>
    <mergeCell ref="H157:H160"/>
    <mergeCell ref="I157:I160"/>
    <mergeCell ref="L157:L160"/>
    <mergeCell ref="M157:M160"/>
    <mergeCell ref="N157:N160"/>
    <mergeCell ref="H146:H156"/>
    <mergeCell ref="I146:I156"/>
    <mergeCell ref="L146:L156"/>
    <mergeCell ref="M146:M156"/>
    <mergeCell ref="N146:N156"/>
    <mergeCell ref="O146:O156"/>
    <mergeCell ref="A146:A156"/>
    <mergeCell ref="C146:C156"/>
    <mergeCell ref="P157:P160"/>
    <mergeCell ref="F158:F159"/>
    <mergeCell ref="G158:G159"/>
    <mergeCell ref="A161:A164"/>
    <mergeCell ref="C161:C164"/>
    <mergeCell ref="D161:D164"/>
    <mergeCell ref="E161:E164"/>
    <mergeCell ref="F161:F164"/>
    <mergeCell ref="G161:G164"/>
    <mergeCell ref="P161:P164"/>
    <mergeCell ref="H161:H164"/>
    <mergeCell ref="I161:I164"/>
    <mergeCell ref="L161:L164"/>
    <mergeCell ref="M161:M164"/>
    <mergeCell ref="N161:N164"/>
    <mergeCell ref="O161:O164"/>
    <mergeCell ref="G165:G166"/>
    <mergeCell ref="H165:H168"/>
    <mergeCell ref="I165:I168"/>
    <mergeCell ref="L165:L168"/>
    <mergeCell ref="D146:D156"/>
    <mergeCell ref="E146:E156"/>
    <mergeCell ref="F146:F147"/>
    <mergeCell ref="G146:G147"/>
    <mergeCell ref="O157:O160"/>
    <mergeCell ref="I173:I176"/>
    <mergeCell ref="L173:L176"/>
    <mergeCell ref="M165:M168"/>
    <mergeCell ref="N165:N168"/>
    <mergeCell ref="O165:O168"/>
    <mergeCell ref="P165:P168"/>
    <mergeCell ref="A169:A172"/>
    <mergeCell ref="C169:C172"/>
    <mergeCell ref="D169:D172"/>
    <mergeCell ref="E169:E172"/>
    <mergeCell ref="F169:F172"/>
    <mergeCell ref="G169:G172"/>
    <mergeCell ref="P169:P172"/>
    <mergeCell ref="H169:H172"/>
    <mergeCell ref="I169:I172"/>
    <mergeCell ref="L169:L172"/>
    <mergeCell ref="M169:M172"/>
    <mergeCell ref="N169:N172"/>
    <mergeCell ref="O169:O172"/>
    <mergeCell ref="A165:A168"/>
    <mergeCell ref="C165:C168"/>
    <mergeCell ref="D165:D168"/>
    <mergeCell ref="E165:E168"/>
    <mergeCell ref="F165:F166"/>
    <mergeCell ref="M173:M176"/>
    <mergeCell ref="N173:N176"/>
    <mergeCell ref="O173:O176"/>
    <mergeCell ref="P173:P176"/>
    <mergeCell ref="A177:A180"/>
    <mergeCell ref="C177:C180"/>
    <mergeCell ref="D177:D180"/>
    <mergeCell ref="E177:E180"/>
    <mergeCell ref="F177:F180"/>
    <mergeCell ref="G177:G180"/>
    <mergeCell ref="P177:P180"/>
    <mergeCell ref="H177:H180"/>
    <mergeCell ref="I177:I180"/>
    <mergeCell ref="L177:L180"/>
    <mergeCell ref="M177:M180"/>
    <mergeCell ref="N177:N180"/>
    <mergeCell ref="O177:O180"/>
    <mergeCell ref="A173:A176"/>
    <mergeCell ref="C173:C176"/>
    <mergeCell ref="D173:D176"/>
    <mergeCell ref="E173:E176"/>
    <mergeCell ref="F173:F176"/>
    <mergeCell ref="G173:G176"/>
    <mergeCell ref="H173:H176"/>
    <mergeCell ref="O181:O191"/>
    <mergeCell ref="P181:P191"/>
    <mergeCell ref="F183:F184"/>
    <mergeCell ref="G183:G184"/>
    <mergeCell ref="A192:A195"/>
    <mergeCell ref="C192:C195"/>
    <mergeCell ref="D192:D195"/>
    <mergeCell ref="E192:E195"/>
    <mergeCell ref="H192:H195"/>
    <mergeCell ref="I192:I195"/>
    <mergeCell ref="A181:A191"/>
    <mergeCell ref="C181:C191"/>
    <mergeCell ref="D181:D191"/>
    <mergeCell ref="E181:E191"/>
    <mergeCell ref="H181:H191"/>
    <mergeCell ref="I181:I191"/>
    <mergeCell ref="L181:L191"/>
    <mergeCell ref="M181:M191"/>
    <mergeCell ref="N181:N191"/>
    <mergeCell ref="L192:L195"/>
    <mergeCell ref="M192:M195"/>
    <mergeCell ref="N192:N195"/>
    <mergeCell ref="O192:O195"/>
    <mergeCell ref="P192:P195"/>
    <mergeCell ref="A196:A200"/>
    <mergeCell ref="C196:C200"/>
    <mergeCell ref="D196:D200"/>
    <mergeCell ref="E196:E200"/>
    <mergeCell ref="H196:H200"/>
    <mergeCell ref="F197:F199"/>
    <mergeCell ref="G197:G199"/>
    <mergeCell ref="I196:I200"/>
    <mergeCell ref="L196:L200"/>
    <mergeCell ref="N209:N214"/>
    <mergeCell ref="O209:O214"/>
    <mergeCell ref="M196:M200"/>
    <mergeCell ref="P205:P208"/>
    <mergeCell ref="F206:F207"/>
    <mergeCell ref="G206:G207"/>
    <mergeCell ref="P201:P204"/>
    <mergeCell ref="F202:F203"/>
    <mergeCell ref="G202:G203"/>
    <mergeCell ref="H205:H208"/>
    <mergeCell ref="I205:I208"/>
    <mergeCell ref="L205:L208"/>
    <mergeCell ref="H201:H204"/>
    <mergeCell ref="I201:I204"/>
    <mergeCell ref="L201:L204"/>
    <mergeCell ref="M201:M204"/>
    <mergeCell ref="N196:N200"/>
    <mergeCell ref="O196:O200"/>
    <mergeCell ref="P196:P200"/>
    <mergeCell ref="N201:N204"/>
    <mergeCell ref="O201:O204"/>
    <mergeCell ref="A201:A204"/>
    <mergeCell ref="C201:C204"/>
    <mergeCell ref="D201:D204"/>
    <mergeCell ref="E201:E204"/>
    <mergeCell ref="A205:A208"/>
    <mergeCell ref="C205:C208"/>
    <mergeCell ref="D205:D208"/>
    <mergeCell ref="E205:E208"/>
    <mergeCell ref="P209:P214"/>
    <mergeCell ref="F211:F212"/>
    <mergeCell ref="G211:G212"/>
    <mergeCell ref="F213:F214"/>
    <mergeCell ref="G213:G214"/>
    <mergeCell ref="A209:A214"/>
    <mergeCell ref="C209:C214"/>
    <mergeCell ref="D209:D214"/>
    <mergeCell ref="E209:E214"/>
    <mergeCell ref="H209:H214"/>
    <mergeCell ref="I209:I214"/>
    <mergeCell ref="M205:M208"/>
    <mergeCell ref="N205:N208"/>
    <mergeCell ref="O205:O208"/>
    <mergeCell ref="L209:L214"/>
    <mergeCell ref="M209:M214"/>
    <mergeCell ref="L215:L219"/>
    <mergeCell ref="M215:M219"/>
    <mergeCell ref="N215:N219"/>
    <mergeCell ref="O215:O219"/>
    <mergeCell ref="P215:P219"/>
    <mergeCell ref="F216:F217"/>
    <mergeCell ref="G216:G217"/>
    <mergeCell ref="A215:A219"/>
    <mergeCell ref="C215:C219"/>
    <mergeCell ref="D215:D219"/>
    <mergeCell ref="E215:E219"/>
    <mergeCell ref="H215:H219"/>
    <mergeCell ref="I215:I219"/>
    <mergeCell ref="P220:P223"/>
    <mergeCell ref="A224:A227"/>
    <mergeCell ref="C224:C227"/>
    <mergeCell ref="D224:D227"/>
    <mergeCell ref="E224:E227"/>
    <mergeCell ref="H224:H227"/>
    <mergeCell ref="I224:I227"/>
    <mergeCell ref="L224:L227"/>
    <mergeCell ref="M224:M227"/>
    <mergeCell ref="N224:N227"/>
    <mergeCell ref="H220:H223"/>
    <mergeCell ref="I220:I223"/>
    <mergeCell ref="L220:L223"/>
    <mergeCell ref="M220:M223"/>
    <mergeCell ref="N220:N223"/>
    <mergeCell ref="O220:O223"/>
    <mergeCell ref="A220:A223"/>
    <mergeCell ref="C220:C223"/>
    <mergeCell ref="O224:O227"/>
    <mergeCell ref="P224:P227"/>
    <mergeCell ref="F226:F227"/>
    <mergeCell ref="G226:G227"/>
    <mergeCell ref="A228:A231"/>
    <mergeCell ref="C228:C231"/>
    <mergeCell ref="D228:D231"/>
    <mergeCell ref="E228:E231"/>
    <mergeCell ref="F228:F231"/>
    <mergeCell ref="G228:G231"/>
    <mergeCell ref="P228:P231"/>
    <mergeCell ref="H228:H231"/>
    <mergeCell ref="I228:I231"/>
    <mergeCell ref="L228:L231"/>
    <mergeCell ref="M228:M231"/>
    <mergeCell ref="N228:N231"/>
    <mergeCell ref="O228:O231"/>
    <mergeCell ref="E232:E235"/>
    <mergeCell ref="F232:F235"/>
    <mergeCell ref="G232:G235"/>
    <mergeCell ref="H232:H235"/>
    <mergeCell ref="I232:I235"/>
    <mergeCell ref="L232:L235"/>
    <mergeCell ref="D220:D223"/>
    <mergeCell ref="E220:E223"/>
    <mergeCell ref="F220:F221"/>
    <mergeCell ref="G220:G221"/>
    <mergeCell ref="I240:I243"/>
    <mergeCell ref="L240:L243"/>
    <mergeCell ref="M240:M243"/>
    <mergeCell ref="N240:N243"/>
    <mergeCell ref="M232:M235"/>
    <mergeCell ref="N232:N235"/>
    <mergeCell ref="O232:O235"/>
    <mergeCell ref="P232:P235"/>
    <mergeCell ref="A236:A239"/>
    <mergeCell ref="C236:C239"/>
    <mergeCell ref="D236:D239"/>
    <mergeCell ref="E236:E239"/>
    <mergeCell ref="F236:F239"/>
    <mergeCell ref="G236:G239"/>
    <mergeCell ref="P236:P239"/>
    <mergeCell ref="H236:H239"/>
    <mergeCell ref="I236:I239"/>
    <mergeCell ref="L236:L239"/>
    <mergeCell ref="M236:M239"/>
    <mergeCell ref="N236:N239"/>
    <mergeCell ref="O236:O239"/>
    <mergeCell ref="A232:A235"/>
    <mergeCell ref="C232:C235"/>
    <mergeCell ref="D232:D235"/>
    <mergeCell ref="M248:M255"/>
    <mergeCell ref="N248:N255"/>
    <mergeCell ref="O240:O243"/>
    <mergeCell ref="P240:P243"/>
    <mergeCell ref="F241:F242"/>
    <mergeCell ref="G241:G242"/>
    <mergeCell ref="A244:A247"/>
    <mergeCell ref="C244:C247"/>
    <mergeCell ref="D244:D247"/>
    <mergeCell ref="E244:E247"/>
    <mergeCell ref="F244:F247"/>
    <mergeCell ref="G244:G247"/>
    <mergeCell ref="P244:P247"/>
    <mergeCell ref="H244:H247"/>
    <mergeCell ref="I244:I247"/>
    <mergeCell ref="L244:L247"/>
    <mergeCell ref="M244:M247"/>
    <mergeCell ref="N244:N247"/>
    <mergeCell ref="O244:O247"/>
    <mergeCell ref="A240:A243"/>
    <mergeCell ref="C240:C243"/>
    <mergeCell ref="D240:D243"/>
    <mergeCell ref="E240:E243"/>
    <mergeCell ref="H240:H243"/>
    <mergeCell ref="O248:O255"/>
    <mergeCell ref="P248:P255"/>
    <mergeCell ref="F252:F253"/>
    <mergeCell ref="G252:G253"/>
    <mergeCell ref="A256:A259"/>
    <mergeCell ref="C256:C259"/>
    <mergeCell ref="D256:D259"/>
    <mergeCell ref="E256:E259"/>
    <mergeCell ref="F256:F259"/>
    <mergeCell ref="G256:G259"/>
    <mergeCell ref="P256:P259"/>
    <mergeCell ref="H256:H259"/>
    <mergeCell ref="I256:I259"/>
    <mergeCell ref="L256:L259"/>
    <mergeCell ref="M256:M259"/>
    <mergeCell ref="N256:N259"/>
    <mergeCell ref="O256:O259"/>
    <mergeCell ref="A248:A255"/>
    <mergeCell ref="C248:C255"/>
    <mergeCell ref="D248:D255"/>
    <mergeCell ref="E248:E255"/>
    <mergeCell ref="H248:H255"/>
    <mergeCell ref="I248:I255"/>
    <mergeCell ref="L248:L255"/>
    <mergeCell ref="O260:O264"/>
    <mergeCell ref="P260:P264"/>
    <mergeCell ref="A265:A268"/>
    <mergeCell ref="C265:C268"/>
    <mergeCell ref="D265:D268"/>
    <mergeCell ref="E265:E268"/>
    <mergeCell ref="F265:F266"/>
    <mergeCell ref="G265:G266"/>
    <mergeCell ref="H265:H268"/>
    <mergeCell ref="I265:I268"/>
    <mergeCell ref="A260:A264"/>
    <mergeCell ref="C260:C264"/>
    <mergeCell ref="D260:D264"/>
    <mergeCell ref="E260:E264"/>
    <mergeCell ref="H260:H264"/>
    <mergeCell ref="I260:I264"/>
    <mergeCell ref="L260:L264"/>
    <mergeCell ref="M260:M264"/>
    <mergeCell ref="N260:N264"/>
    <mergeCell ref="D269:D272"/>
    <mergeCell ref="E269:E272"/>
    <mergeCell ref="F269:F270"/>
    <mergeCell ref="G269:G270"/>
    <mergeCell ref="L265:L268"/>
    <mergeCell ref="M265:M268"/>
    <mergeCell ref="N265:N268"/>
    <mergeCell ref="O265:O268"/>
    <mergeCell ref="P265:P268"/>
    <mergeCell ref="F267:F268"/>
    <mergeCell ref="G267:G268"/>
    <mergeCell ref="A277:A280"/>
    <mergeCell ref="C277:C280"/>
    <mergeCell ref="D277:D280"/>
    <mergeCell ref="E277:E280"/>
    <mergeCell ref="H277:H280"/>
    <mergeCell ref="I277:I280"/>
    <mergeCell ref="P269:P272"/>
    <mergeCell ref="A273:A276"/>
    <mergeCell ref="C273:C276"/>
    <mergeCell ref="D273:D276"/>
    <mergeCell ref="E273:E276"/>
    <mergeCell ref="H273:H276"/>
    <mergeCell ref="I273:I276"/>
    <mergeCell ref="L273:L276"/>
    <mergeCell ref="M273:M276"/>
    <mergeCell ref="N273:N276"/>
    <mergeCell ref="H269:H272"/>
    <mergeCell ref="I269:I272"/>
    <mergeCell ref="L269:L272"/>
    <mergeCell ref="M269:M272"/>
    <mergeCell ref="N269:N272"/>
    <mergeCell ref="O269:O272"/>
    <mergeCell ref="A269:A272"/>
    <mergeCell ref="C269:C272"/>
    <mergeCell ref="L277:L280"/>
    <mergeCell ref="M277:M280"/>
    <mergeCell ref="N277:N280"/>
    <mergeCell ref="O277:O280"/>
    <mergeCell ref="P277:P280"/>
    <mergeCell ref="F279:F280"/>
    <mergeCell ref="G279:G280"/>
    <mergeCell ref="O273:O276"/>
    <mergeCell ref="P273:P276"/>
    <mergeCell ref="F275:F276"/>
    <mergeCell ref="G275:G276"/>
    <mergeCell ref="L281:L284"/>
    <mergeCell ref="M281:M284"/>
    <mergeCell ref="N281:N284"/>
    <mergeCell ref="O281:O284"/>
    <mergeCell ref="P281:P284"/>
    <mergeCell ref="F283:F284"/>
    <mergeCell ref="G283:G284"/>
    <mergeCell ref="A281:A284"/>
    <mergeCell ref="C281:C284"/>
    <mergeCell ref="D281:D284"/>
    <mergeCell ref="E281:E284"/>
    <mergeCell ref="H281:H284"/>
    <mergeCell ref="I281:I284"/>
    <mergeCell ref="O285:O288"/>
    <mergeCell ref="P285:P288"/>
    <mergeCell ref="F287:F288"/>
    <mergeCell ref="G287:G288"/>
    <mergeCell ref="A285:A288"/>
    <mergeCell ref="C285:C288"/>
    <mergeCell ref="D285:D288"/>
    <mergeCell ref="E285:E288"/>
    <mergeCell ref="H285:H288"/>
    <mergeCell ref="I285:I288"/>
    <mergeCell ref="A289:A292"/>
    <mergeCell ref="C289:C292"/>
    <mergeCell ref="D289:D292"/>
    <mergeCell ref="E289:E292"/>
    <mergeCell ref="H289:H292"/>
    <mergeCell ref="I289:I292"/>
    <mergeCell ref="L285:L288"/>
    <mergeCell ref="M285:M288"/>
    <mergeCell ref="N285:N288"/>
    <mergeCell ref="D293:D296"/>
    <mergeCell ref="E293:E296"/>
    <mergeCell ref="F293:F296"/>
    <mergeCell ref="G293:G296"/>
    <mergeCell ref="L289:L292"/>
    <mergeCell ref="M289:M292"/>
    <mergeCell ref="N289:N292"/>
    <mergeCell ref="O289:O292"/>
    <mergeCell ref="P289:P292"/>
    <mergeCell ref="F291:F292"/>
    <mergeCell ref="G291:G292"/>
    <mergeCell ref="A301:A304"/>
    <mergeCell ref="C301:C304"/>
    <mergeCell ref="D301:D304"/>
    <mergeCell ref="E301:E304"/>
    <mergeCell ref="H301:H304"/>
    <mergeCell ref="I301:I304"/>
    <mergeCell ref="P293:P296"/>
    <mergeCell ref="A297:A300"/>
    <mergeCell ref="C297:C300"/>
    <mergeCell ref="D297:D300"/>
    <mergeCell ref="E297:E300"/>
    <mergeCell ref="H297:H300"/>
    <mergeCell ref="I297:I300"/>
    <mergeCell ref="L297:L300"/>
    <mergeCell ref="M297:M300"/>
    <mergeCell ref="N297:N300"/>
    <mergeCell ref="H293:H296"/>
    <mergeCell ref="I293:I296"/>
    <mergeCell ref="L293:L296"/>
    <mergeCell ref="M293:M296"/>
    <mergeCell ref="N293:N296"/>
    <mergeCell ref="O293:O296"/>
    <mergeCell ref="A293:A296"/>
    <mergeCell ref="C293:C296"/>
    <mergeCell ref="L301:L304"/>
    <mergeCell ref="M301:M304"/>
    <mergeCell ref="N301:N304"/>
    <mergeCell ref="O301:O304"/>
    <mergeCell ref="P301:P304"/>
    <mergeCell ref="F303:F304"/>
    <mergeCell ref="G303:G304"/>
    <mergeCell ref="O297:O300"/>
    <mergeCell ref="P297:P300"/>
    <mergeCell ref="F299:F300"/>
    <mergeCell ref="G299:G300"/>
    <mergeCell ref="L305:L308"/>
    <mergeCell ref="M305:M308"/>
    <mergeCell ref="N305:N308"/>
    <mergeCell ref="O305:O308"/>
    <mergeCell ref="P305:P308"/>
    <mergeCell ref="F307:F308"/>
    <mergeCell ref="G307:G308"/>
    <mergeCell ref="A305:A308"/>
    <mergeCell ref="C305:C308"/>
    <mergeCell ref="D305:D308"/>
    <mergeCell ref="E305:E308"/>
    <mergeCell ref="H305:H308"/>
    <mergeCell ref="I305:I308"/>
    <mergeCell ref="L309:L312"/>
    <mergeCell ref="M309:M312"/>
    <mergeCell ref="N309:N312"/>
    <mergeCell ref="O309:O312"/>
    <mergeCell ref="P309:P312"/>
    <mergeCell ref="F311:F312"/>
    <mergeCell ref="G311:G312"/>
    <mergeCell ref="A309:A312"/>
    <mergeCell ref="C309:C312"/>
    <mergeCell ref="D309:D312"/>
    <mergeCell ref="E309:E312"/>
    <mergeCell ref="H309:H312"/>
    <mergeCell ref="I309:I312"/>
    <mergeCell ref="P313:P316"/>
    <mergeCell ref="B317:H317"/>
    <mergeCell ref="H313:H316"/>
    <mergeCell ref="I313:I316"/>
    <mergeCell ref="L313:L316"/>
    <mergeCell ref="M313:M316"/>
    <mergeCell ref="N313:N316"/>
    <mergeCell ref="O313:O316"/>
    <mergeCell ref="A313:A316"/>
    <mergeCell ref="C313:C316"/>
    <mergeCell ref="D313:D316"/>
    <mergeCell ref="E313:E316"/>
    <mergeCell ref="F313:F316"/>
    <mergeCell ref="G313:G316"/>
  </mergeCells>
  <pageMargins left="0.51181102362204722" right="0.31496062992125984" top="0.55118110236220474" bottom="0.35433070866141736" header="0.31496062992125984" footer="0.31496062992125984"/>
  <pageSetup paperSize="9"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53B9-00B1-4EFB-87E9-31DA9800C116}">
  <sheetPr>
    <tabColor rgb="FF00B0F0"/>
    <pageSetUpPr fitToPage="1"/>
  </sheetPr>
  <dimension ref="A1:BJ88"/>
  <sheetViews>
    <sheetView topLeftCell="A4" zoomScale="85" zoomScaleNormal="85" zoomScaleSheetLayoutView="100" workbookViewId="0">
      <pane ySplit="4" topLeftCell="A31" activePane="bottomLeft" state="frozen"/>
      <selection activeCell="R4" sqref="R4"/>
      <selection pane="bottomLeft" activeCell="B54" sqref="B54"/>
    </sheetView>
  </sheetViews>
  <sheetFormatPr defaultColWidth="8.75" defaultRowHeight="18.75"/>
  <cols>
    <col min="1" max="1" width="8.75" style="2"/>
    <col min="2" max="2" width="39.875" style="2" customWidth="1"/>
    <col min="3" max="3" width="18.125" style="74" customWidth="1"/>
    <col min="4" max="4" width="19" style="74" customWidth="1"/>
    <col min="5" max="5" width="12" style="74" customWidth="1"/>
    <col min="6" max="6" width="13.625" style="74" customWidth="1"/>
    <col min="7" max="9" width="12.25" style="74" customWidth="1"/>
    <col min="10" max="10" width="13.25" style="74" customWidth="1"/>
    <col min="11" max="15" width="12.25" style="74" customWidth="1"/>
    <col min="16" max="22" width="14.625" style="74" hidden="1" customWidth="1"/>
    <col min="23" max="23" width="13.875" style="74" hidden="1" customWidth="1"/>
    <col min="24" max="29" width="14.625" style="74" hidden="1" customWidth="1"/>
    <col min="30" max="30" width="13.625" style="74" customWidth="1"/>
    <col min="31" max="31" width="13.25" style="74" customWidth="1"/>
    <col min="32" max="33" width="12.25" style="2" customWidth="1"/>
    <col min="34" max="34" width="8.75" style="2"/>
    <col min="35" max="35" width="8.875" style="2" bestFit="1" customWidth="1"/>
    <col min="36" max="36" width="10.125" style="2" bestFit="1" customWidth="1"/>
    <col min="37" max="37" width="9.875" style="2" customWidth="1"/>
    <col min="38" max="38" width="8.875" style="2" bestFit="1" customWidth="1"/>
    <col min="39" max="39" width="9.125" style="2" bestFit="1" customWidth="1"/>
    <col min="40" max="41" width="9" style="2" bestFit="1" customWidth="1"/>
    <col min="42" max="44" width="9.25" style="2" bestFit="1" customWidth="1"/>
    <col min="45" max="45" width="10.375" style="2" customWidth="1"/>
    <col min="46" max="46" width="11.375" style="2" customWidth="1"/>
    <col min="47" max="47" width="11.25" style="2" customWidth="1"/>
    <col min="48" max="51" width="8.75" style="2"/>
    <col min="52" max="52" width="10.375" style="2" customWidth="1"/>
    <col min="53" max="53" width="10.75" style="2" customWidth="1"/>
    <col min="54" max="57" width="8.75" style="2"/>
    <col min="58" max="58" width="9.375" style="2" bestFit="1" customWidth="1"/>
    <col min="59" max="16384" width="8.75" style="2"/>
  </cols>
  <sheetData>
    <row r="1" spans="1:58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305"/>
    </row>
    <row r="2" spans="1:58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305"/>
    </row>
    <row r="3" spans="1:58">
      <c r="A3" s="427" t="s">
        <v>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305"/>
    </row>
    <row r="4" spans="1:58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</row>
    <row r="5" spans="1:58" ht="33.75" customHeight="1">
      <c r="A5" s="305"/>
      <c r="B5" s="305"/>
      <c r="C5" s="305"/>
      <c r="D5" s="305"/>
      <c r="E5" s="305"/>
      <c r="F5" s="423">
        <v>244258</v>
      </c>
      <c r="G5" s="419"/>
      <c r="H5" s="423">
        <v>244289</v>
      </c>
      <c r="I5" s="419"/>
      <c r="J5" s="423">
        <v>244319</v>
      </c>
      <c r="K5" s="419"/>
      <c r="L5" s="423">
        <v>244350</v>
      </c>
      <c r="M5" s="419"/>
      <c r="N5" s="423">
        <v>244381</v>
      </c>
      <c r="O5" s="419"/>
      <c r="P5" s="423">
        <v>244409</v>
      </c>
      <c r="Q5" s="419"/>
      <c r="R5" s="423">
        <v>244440</v>
      </c>
      <c r="S5" s="419"/>
      <c r="T5" s="423">
        <v>244470</v>
      </c>
      <c r="U5" s="419"/>
      <c r="V5" s="423">
        <v>244501</v>
      </c>
      <c r="W5" s="419"/>
      <c r="X5" s="423">
        <v>244531</v>
      </c>
      <c r="Y5" s="419"/>
      <c r="Z5" s="423">
        <v>244562</v>
      </c>
      <c r="AA5" s="419"/>
      <c r="AB5" s="423">
        <v>244593</v>
      </c>
      <c r="AC5" s="419"/>
      <c r="AD5" s="424" t="s">
        <v>644</v>
      </c>
      <c r="AE5" s="425"/>
      <c r="AF5" s="426"/>
      <c r="AG5" s="3"/>
    </row>
    <row r="6" spans="1:58" ht="36" customHeight="1">
      <c r="A6" s="419" t="s">
        <v>3</v>
      </c>
      <c r="B6" s="419" t="s">
        <v>4</v>
      </c>
      <c r="C6" s="420" t="s">
        <v>5</v>
      </c>
      <c r="D6" s="421"/>
      <c r="E6" s="422"/>
      <c r="F6" s="422" t="s">
        <v>6</v>
      </c>
      <c r="G6" s="418" t="s">
        <v>7</v>
      </c>
      <c r="H6" s="418" t="s">
        <v>6</v>
      </c>
      <c r="I6" s="418" t="s">
        <v>7</v>
      </c>
      <c r="J6" s="418" t="s">
        <v>6</v>
      </c>
      <c r="K6" s="420" t="s">
        <v>7</v>
      </c>
      <c r="L6" s="415" t="s">
        <v>6</v>
      </c>
      <c r="M6" s="415" t="s">
        <v>7</v>
      </c>
      <c r="N6" s="415" t="s">
        <v>6</v>
      </c>
      <c r="O6" s="415" t="s">
        <v>7</v>
      </c>
      <c r="P6" s="415" t="s">
        <v>6</v>
      </c>
      <c r="Q6" s="415" t="s">
        <v>7</v>
      </c>
      <c r="R6" s="415" t="s">
        <v>6</v>
      </c>
      <c r="S6" s="415" t="s">
        <v>7</v>
      </c>
      <c r="T6" s="415" t="s">
        <v>6</v>
      </c>
      <c r="U6" s="415" t="s">
        <v>7</v>
      </c>
      <c r="V6" s="415" t="s">
        <v>6</v>
      </c>
      <c r="W6" s="415" t="s">
        <v>7</v>
      </c>
      <c r="X6" s="415" t="s">
        <v>6</v>
      </c>
      <c r="Y6" s="415" t="s">
        <v>7</v>
      </c>
      <c r="Z6" s="415" t="s">
        <v>6</v>
      </c>
      <c r="AA6" s="415" t="s">
        <v>7</v>
      </c>
      <c r="AB6" s="415" t="s">
        <v>6</v>
      </c>
      <c r="AC6" s="415" t="s">
        <v>7</v>
      </c>
      <c r="AD6" s="418" t="s">
        <v>8</v>
      </c>
      <c r="AE6" s="418" t="s">
        <v>9</v>
      </c>
      <c r="AF6" s="417" t="s">
        <v>10</v>
      </c>
      <c r="AG6" s="3"/>
    </row>
    <row r="7" spans="1:58" s="6" customFormat="1" ht="54" customHeight="1">
      <c r="A7" s="419"/>
      <c r="B7" s="419"/>
      <c r="C7" s="306" t="s">
        <v>11</v>
      </c>
      <c r="D7" s="307" t="s">
        <v>6</v>
      </c>
      <c r="E7" s="307" t="s">
        <v>7</v>
      </c>
      <c r="F7" s="422"/>
      <c r="G7" s="418"/>
      <c r="H7" s="418"/>
      <c r="I7" s="418"/>
      <c r="J7" s="418"/>
      <c r="K7" s="420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8"/>
      <c r="AE7" s="418"/>
      <c r="AF7" s="417"/>
      <c r="AG7" s="3"/>
    </row>
    <row r="8" spans="1:58" s="6" customFormat="1" ht="21.6" customHeight="1">
      <c r="A8" s="7"/>
      <c r="B8" s="8" t="s">
        <v>494</v>
      </c>
      <c r="C8" s="9"/>
      <c r="D8" s="10"/>
      <c r="E8" s="10"/>
      <c r="F8" s="10"/>
      <c r="G8" s="9"/>
      <c r="H8" s="9"/>
      <c r="I8" s="9"/>
      <c r="J8" s="9"/>
      <c r="K8" s="11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9"/>
      <c r="AE8" s="9"/>
      <c r="AF8" s="14"/>
      <c r="AG8" s="15"/>
    </row>
    <row r="9" spans="1:58">
      <c r="A9" s="16"/>
      <c r="B9" s="17" t="s">
        <v>12</v>
      </c>
      <c r="C9" s="18"/>
      <c r="D9" s="19"/>
      <c r="E9" s="19"/>
      <c r="F9" s="19"/>
      <c r="G9" s="18"/>
      <c r="H9" s="18"/>
      <c r="I9" s="18"/>
      <c r="J9" s="18"/>
      <c r="K9" s="20"/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8"/>
      <c r="AE9" s="18"/>
      <c r="AF9" s="21"/>
    </row>
    <row r="10" spans="1:58">
      <c r="A10" s="16">
        <v>1</v>
      </c>
      <c r="B10" s="21" t="s">
        <v>13</v>
      </c>
      <c r="C10" s="22">
        <v>47238000</v>
      </c>
      <c r="D10" s="19">
        <v>47238000</v>
      </c>
      <c r="E10" s="19"/>
      <c r="F10" s="23"/>
      <c r="G10" s="24"/>
      <c r="H10" s="24">
        <f>SUM(AI10:AJ10)</f>
        <v>764824.29906542064</v>
      </c>
      <c r="I10" s="24"/>
      <c r="J10" s="24">
        <f>AK10</f>
        <v>2148672.8971962617</v>
      </c>
      <c r="K10" s="20"/>
      <c r="L10" s="18">
        <f>AL10</f>
        <v>444028.97196261684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8">
        <f>SUM(F10:AC10)</f>
        <v>3357526.1682242993</v>
      </c>
      <c r="AE10" s="18">
        <f>F10+H10+J10+L10+N10+P10+R10+T10+V10+X10+Z10+AB10</f>
        <v>3357526.1682242993</v>
      </c>
      <c r="AF10" s="25">
        <f>AE10/AD10</f>
        <v>1</v>
      </c>
      <c r="AG10" s="26"/>
      <c r="AI10" s="27">
        <f>427554-(427554*7/107)</f>
        <v>399583.17757009348</v>
      </c>
      <c r="AJ10" s="27">
        <f>390808-(390808*7/107)</f>
        <v>365241.1214953271</v>
      </c>
      <c r="AK10" s="28">
        <f>2299080-(2299080*7/107)</f>
        <v>2148672.8971962617</v>
      </c>
      <c r="AL10" s="29">
        <f>475111-(475111*7/107)</f>
        <v>444028.97196261684</v>
      </c>
      <c r="AM10" s="29"/>
      <c r="AN10" s="29"/>
      <c r="AO10" s="27"/>
      <c r="AP10" s="27"/>
      <c r="AQ10" s="28"/>
      <c r="AR10" s="28"/>
      <c r="AS10" s="28"/>
      <c r="AT10" s="30"/>
      <c r="AU10" s="30"/>
      <c r="AV10" s="31"/>
      <c r="AW10" s="31"/>
      <c r="AX10" s="31"/>
      <c r="AY10" s="31"/>
      <c r="AZ10" s="27"/>
      <c r="BA10" s="27"/>
      <c r="BB10" s="32"/>
      <c r="BC10" s="33"/>
      <c r="BD10" s="33"/>
      <c r="BE10" s="33"/>
      <c r="BF10" s="29"/>
    </row>
    <row r="11" spans="1:58">
      <c r="A11" s="16">
        <v>2</v>
      </c>
      <c r="B11" s="34" t="s">
        <v>14</v>
      </c>
      <c r="C11" s="35">
        <v>2200000</v>
      </c>
      <c r="D11" s="19">
        <v>2200000</v>
      </c>
      <c r="E11" s="19"/>
      <c r="F11" s="23"/>
      <c r="G11" s="24"/>
      <c r="H11" s="24">
        <f>SUM(AI11)</f>
        <v>2050600</v>
      </c>
      <c r="I11" s="24"/>
      <c r="J11" s="18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8">
        <f>SUM(F11:AC11)</f>
        <v>2050600</v>
      </c>
      <c r="AE11" s="18">
        <f t="shared" ref="AE11:AE74" si="0">F11+H11+J11+L11+N11+P11+R11+T11+V11+X11+Z11+AB11</f>
        <v>2050600</v>
      </c>
      <c r="AF11" s="25">
        <f t="shared" ref="AF11:AF75" si="1">AE11/AD11</f>
        <v>1</v>
      </c>
      <c r="AG11" s="26"/>
      <c r="AI11" s="32">
        <f>2194142-(2194142*7/107)</f>
        <v>2050600</v>
      </c>
    </row>
    <row r="12" spans="1:58">
      <c r="A12" s="16">
        <v>3</v>
      </c>
      <c r="B12" s="34" t="s">
        <v>15</v>
      </c>
      <c r="C12" s="22">
        <v>2000000</v>
      </c>
      <c r="D12" s="19">
        <v>2000000</v>
      </c>
      <c r="E12" s="19"/>
      <c r="F12" s="23"/>
      <c r="G12" s="24"/>
      <c r="H12" s="24"/>
      <c r="I12" s="24"/>
      <c r="J12" s="18">
        <f>AI12</f>
        <v>866355.14018691587</v>
      </c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8">
        <f>SUM(F12:AC12)</f>
        <v>866355.14018691587</v>
      </c>
      <c r="AE12" s="18">
        <f t="shared" si="0"/>
        <v>866355.14018691587</v>
      </c>
      <c r="AF12" s="25">
        <f t="shared" si="1"/>
        <v>1</v>
      </c>
      <c r="AG12" s="26"/>
      <c r="AI12" s="33">
        <f>927000-(927000*7/107)</f>
        <v>866355.14018691587</v>
      </c>
      <c r="AJ12" s="27"/>
      <c r="AK12" s="27"/>
    </row>
    <row r="13" spans="1:58">
      <c r="A13" s="16">
        <v>4</v>
      </c>
      <c r="B13" s="34" t="s">
        <v>16</v>
      </c>
      <c r="C13" s="22">
        <v>5000000</v>
      </c>
      <c r="D13" s="19">
        <v>5000000</v>
      </c>
      <c r="E13" s="19"/>
      <c r="F13" s="23"/>
      <c r="G13" s="24"/>
      <c r="H13" s="24"/>
      <c r="I13" s="24"/>
      <c r="J13" s="18"/>
      <c r="K13" s="20"/>
      <c r="L13" s="18">
        <f>SUM(AI13:AJ13)</f>
        <v>1841064.4859813084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8">
        <f>SUM(F13:AC13)</f>
        <v>1841064.4859813084</v>
      </c>
      <c r="AE13" s="18">
        <f t="shared" si="0"/>
        <v>1841064.4859813084</v>
      </c>
      <c r="AF13" s="25">
        <f t="shared" si="1"/>
        <v>1</v>
      </c>
      <c r="AG13" s="26"/>
      <c r="AI13" s="33">
        <f>987939-(987939*7/107)</f>
        <v>923307.47663551406</v>
      </c>
      <c r="AJ13" s="29">
        <f>982000-(982000*7/107)</f>
        <v>917757.00934579445</v>
      </c>
      <c r="AK13" s="27"/>
      <c r="AS13" s="27"/>
      <c r="AT13" s="27"/>
      <c r="AU13" s="27"/>
    </row>
    <row r="14" spans="1:58">
      <c r="A14" s="16">
        <v>5</v>
      </c>
      <c r="B14" s="34" t="s">
        <v>17</v>
      </c>
      <c r="C14" s="22">
        <v>0</v>
      </c>
      <c r="D14" s="19">
        <v>0</v>
      </c>
      <c r="E14" s="19"/>
      <c r="F14" s="23"/>
      <c r="G14" s="24"/>
      <c r="H14" s="24"/>
      <c r="I14" s="24"/>
      <c r="J14" s="18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8">
        <f t="shared" ref="AD14:AD75" si="2">SUM(F14:AC14)</f>
        <v>0</v>
      </c>
      <c r="AE14" s="18">
        <f t="shared" si="0"/>
        <v>0</v>
      </c>
      <c r="AF14" s="25" t="e">
        <f t="shared" si="1"/>
        <v>#DIV/0!</v>
      </c>
      <c r="AG14" s="26"/>
    </row>
    <row r="15" spans="1:58">
      <c r="A15" s="16">
        <v>6</v>
      </c>
      <c r="B15" s="21" t="s">
        <v>18</v>
      </c>
      <c r="C15" s="22">
        <v>2000000</v>
      </c>
      <c r="D15" s="36">
        <v>2000000</v>
      </c>
      <c r="E15" s="36"/>
      <c r="F15" s="37"/>
      <c r="G15" s="38"/>
      <c r="H15" s="38">
        <f>SUM(AI15)</f>
        <v>946867</v>
      </c>
      <c r="I15" s="38"/>
      <c r="J15" s="39"/>
      <c r="K15" s="40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18">
        <f t="shared" si="2"/>
        <v>946867</v>
      </c>
      <c r="AE15" s="18">
        <f t="shared" si="0"/>
        <v>946867</v>
      </c>
      <c r="AF15" s="25">
        <f t="shared" si="1"/>
        <v>1</v>
      </c>
      <c r="AG15" s="26"/>
      <c r="AI15" s="32">
        <f>1013147.69-(1013147.69*7/107)</f>
        <v>946867</v>
      </c>
    </row>
    <row r="16" spans="1:58">
      <c r="A16" s="41"/>
      <c r="B16" s="42" t="s">
        <v>19</v>
      </c>
      <c r="C16" s="43"/>
      <c r="D16" s="44"/>
      <c r="E16" s="44"/>
      <c r="F16" s="45"/>
      <c r="G16" s="46"/>
      <c r="H16" s="46"/>
      <c r="I16" s="46"/>
      <c r="J16" s="47"/>
      <c r="K16" s="48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7"/>
      <c r="AE16" s="47"/>
      <c r="AF16" s="49" t="e">
        <f t="shared" si="1"/>
        <v>#DIV/0!</v>
      </c>
      <c r="AG16" s="50"/>
    </row>
    <row r="17" spans="1:35">
      <c r="A17" s="16">
        <v>1</v>
      </c>
      <c r="B17" s="21" t="s">
        <v>498</v>
      </c>
      <c r="C17" s="51">
        <v>25000</v>
      </c>
      <c r="D17" s="18">
        <v>25000</v>
      </c>
      <c r="E17" s="19"/>
      <c r="F17" s="23">
        <f>AI17</f>
        <v>23350</v>
      </c>
      <c r="G17" s="24"/>
      <c r="H17" s="24"/>
      <c r="I17" s="24"/>
      <c r="J17" s="18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>
        <f t="shared" si="2"/>
        <v>23350</v>
      </c>
      <c r="AE17" s="18">
        <f t="shared" si="0"/>
        <v>23350</v>
      </c>
      <c r="AF17" s="25">
        <f t="shared" si="1"/>
        <v>1</v>
      </c>
      <c r="AG17" s="26"/>
      <c r="AI17" s="2">
        <f>24984.5-(24984.5*7/107)</f>
        <v>23350</v>
      </c>
    </row>
    <row r="18" spans="1:35">
      <c r="A18" s="16">
        <v>2</v>
      </c>
      <c r="B18" s="21" t="s">
        <v>499</v>
      </c>
      <c r="C18" s="51">
        <v>9800</v>
      </c>
      <c r="D18" s="19">
        <v>9800</v>
      </c>
      <c r="E18" s="19"/>
      <c r="F18" s="23">
        <f>AI18</f>
        <v>9800</v>
      </c>
      <c r="G18" s="24"/>
      <c r="H18" s="24"/>
      <c r="I18" s="24"/>
      <c r="J18" s="18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8">
        <f t="shared" si="2"/>
        <v>9800</v>
      </c>
      <c r="AE18" s="18">
        <f t="shared" si="0"/>
        <v>9800</v>
      </c>
      <c r="AF18" s="25">
        <f t="shared" si="1"/>
        <v>1</v>
      </c>
      <c r="AG18" s="26"/>
      <c r="AI18" s="2">
        <f>10486-(10486*7/107)</f>
        <v>9800</v>
      </c>
    </row>
    <row r="19" spans="1:35">
      <c r="A19" s="16">
        <v>3</v>
      </c>
      <c r="B19" s="21" t="s">
        <v>500</v>
      </c>
      <c r="C19" s="51">
        <v>2000</v>
      </c>
      <c r="D19" s="19">
        <v>2000</v>
      </c>
      <c r="E19" s="19"/>
      <c r="F19" s="23">
        <f>AI19</f>
        <v>1480</v>
      </c>
      <c r="G19" s="24"/>
      <c r="H19" s="24"/>
      <c r="I19" s="24"/>
      <c r="J19" s="18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8">
        <f t="shared" si="2"/>
        <v>1480</v>
      </c>
      <c r="AE19" s="18">
        <f t="shared" si="0"/>
        <v>1480</v>
      </c>
      <c r="AF19" s="25">
        <f t="shared" si="1"/>
        <v>1</v>
      </c>
      <c r="AG19" s="26"/>
      <c r="AI19" s="2">
        <f>1583.6-(1583.6*7/107)</f>
        <v>1480</v>
      </c>
    </row>
    <row r="20" spans="1:35">
      <c r="A20" s="16">
        <v>4</v>
      </c>
      <c r="B20" s="21"/>
      <c r="C20" s="51"/>
      <c r="D20" s="19"/>
      <c r="E20" s="19"/>
      <c r="F20" s="23"/>
      <c r="G20" s="24"/>
      <c r="H20" s="24"/>
      <c r="I20" s="24"/>
      <c r="J20" s="18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8">
        <f t="shared" si="2"/>
        <v>0</v>
      </c>
      <c r="AE20" s="18">
        <f t="shared" si="0"/>
        <v>0</v>
      </c>
      <c r="AF20" s="25" t="e">
        <f t="shared" si="1"/>
        <v>#DIV/0!</v>
      </c>
      <c r="AG20" s="26"/>
    </row>
    <row r="21" spans="1:35">
      <c r="A21" s="16">
        <v>5</v>
      </c>
      <c r="B21" s="21"/>
      <c r="C21" s="51"/>
      <c r="D21" s="19"/>
      <c r="E21" s="19"/>
      <c r="F21" s="23"/>
      <c r="G21" s="24"/>
      <c r="H21" s="24"/>
      <c r="I21" s="24"/>
      <c r="J21" s="18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8">
        <f t="shared" si="2"/>
        <v>0</v>
      </c>
      <c r="AE21" s="18">
        <f t="shared" si="0"/>
        <v>0</v>
      </c>
      <c r="AF21" s="25" t="e">
        <f t="shared" si="1"/>
        <v>#DIV/0!</v>
      </c>
      <c r="AG21" s="26"/>
      <c r="AI21" s="27"/>
    </row>
    <row r="22" spans="1:35">
      <c r="A22" s="16">
        <v>6</v>
      </c>
      <c r="B22" s="21"/>
      <c r="C22" s="51"/>
      <c r="D22" s="19"/>
      <c r="E22" s="19"/>
      <c r="F22" s="23"/>
      <c r="G22" s="24"/>
      <c r="H22" s="24"/>
      <c r="I22" s="24"/>
      <c r="J22" s="18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>
        <f t="shared" si="2"/>
        <v>0</v>
      </c>
      <c r="AE22" s="18">
        <f t="shared" si="0"/>
        <v>0</v>
      </c>
      <c r="AF22" s="25" t="e">
        <f t="shared" si="1"/>
        <v>#DIV/0!</v>
      </c>
      <c r="AG22" s="26"/>
    </row>
    <row r="23" spans="1:35">
      <c r="A23" s="16">
        <v>7</v>
      </c>
      <c r="B23" s="21"/>
      <c r="C23" s="51"/>
      <c r="D23" s="19"/>
      <c r="E23" s="19"/>
      <c r="F23" s="23"/>
      <c r="G23" s="24"/>
      <c r="H23" s="24"/>
      <c r="I23" s="24"/>
      <c r="J23" s="18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>
        <f t="shared" si="2"/>
        <v>0</v>
      </c>
      <c r="AE23" s="18">
        <f t="shared" si="0"/>
        <v>0</v>
      </c>
      <c r="AF23" s="25" t="e">
        <f t="shared" si="1"/>
        <v>#DIV/0!</v>
      </c>
      <c r="AG23" s="26"/>
      <c r="AI23" s="27"/>
    </row>
    <row r="24" spans="1:35">
      <c r="A24" s="16">
        <v>8</v>
      </c>
      <c r="B24" s="21"/>
      <c r="C24" s="51"/>
      <c r="D24" s="19"/>
      <c r="E24" s="19"/>
      <c r="F24" s="23"/>
      <c r="G24" s="24"/>
      <c r="H24" s="24"/>
      <c r="I24" s="24"/>
      <c r="J24" s="18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>
        <f t="shared" si="2"/>
        <v>0</v>
      </c>
      <c r="AE24" s="18">
        <f t="shared" si="0"/>
        <v>0</v>
      </c>
      <c r="AF24" s="25" t="e">
        <f t="shared" si="1"/>
        <v>#DIV/0!</v>
      </c>
      <c r="AG24" s="26"/>
      <c r="AI24" s="28"/>
    </row>
    <row r="25" spans="1:35">
      <c r="A25" s="16">
        <v>9</v>
      </c>
      <c r="B25" s="21"/>
      <c r="C25" s="51"/>
      <c r="D25" s="19"/>
      <c r="E25" s="19"/>
      <c r="F25" s="23"/>
      <c r="G25" s="24"/>
      <c r="H25" s="24"/>
      <c r="I25" s="24"/>
      <c r="J25" s="18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>
        <f t="shared" si="2"/>
        <v>0</v>
      </c>
      <c r="AE25" s="18">
        <f t="shared" si="0"/>
        <v>0</v>
      </c>
      <c r="AF25" s="25" t="e">
        <f t="shared" si="1"/>
        <v>#DIV/0!</v>
      </c>
      <c r="AG25" s="26"/>
      <c r="AI25" s="27"/>
    </row>
    <row r="26" spans="1:35">
      <c r="A26" s="16">
        <v>10</v>
      </c>
      <c r="B26" s="21"/>
      <c r="C26" s="51"/>
      <c r="D26" s="19"/>
      <c r="E26" s="19"/>
      <c r="F26" s="23"/>
      <c r="G26" s="24"/>
      <c r="H26" s="24"/>
      <c r="I26" s="24"/>
      <c r="J26" s="18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>
        <f t="shared" si="2"/>
        <v>0</v>
      </c>
      <c r="AE26" s="18">
        <f t="shared" si="0"/>
        <v>0</v>
      </c>
      <c r="AF26" s="25" t="e">
        <f t="shared" si="1"/>
        <v>#DIV/0!</v>
      </c>
      <c r="AG26" s="26"/>
      <c r="AI26" s="27"/>
    </row>
    <row r="27" spans="1:35">
      <c r="A27" s="16">
        <v>11</v>
      </c>
      <c r="B27" s="21"/>
      <c r="C27" s="51"/>
      <c r="D27" s="19"/>
      <c r="E27" s="19"/>
      <c r="F27" s="23"/>
      <c r="G27" s="24"/>
      <c r="H27" s="24"/>
      <c r="I27" s="24"/>
      <c r="J27" s="18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>
        <f t="shared" si="2"/>
        <v>0</v>
      </c>
      <c r="AE27" s="18">
        <f t="shared" si="0"/>
        <v>0</v>
      </c>
      <c r="AF27" s="25" t="e">
        <f t="shared" si="1"/>
        <v>#DIV/0!</v>
      </c>
      <c r="AG27" s="26"/>
      <c r="AI27" s="27"/>
    </row>
    <row r="28" spans="1:35">
      <c r="A28" s="16"/>
      <c r="B28" s="21"/>
      <c r="C28" s="51"/>
      <c r="D28" s="19"/>
      <c r="E28" s="19"/>
      <c r="F28" s="23"/>
      <c r="G28" s="24"/>
      <c r="H28" s="24"/>
      <c r="I28" s="24"/>
      <c r="J28" s="18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>
        <f t="shared" si="2"/>
        <v>0</v>
      </c>
      <c r="AE28" s="18">
        <f t="shared" si="0"/>
        <v>0</v>
      </c>
      <c r="AF28" s="25" t="e">
        <f t="shared" si="1"/>
        <v>#DIV/0!</v>
      </c>
      <c r="AG28" s="26"/>
    </row>
    <row r="29" spans="1:35">
      <c r="A29" s="16"/>
      <c r="B29" s="21"/>
      <c r="C29" s="51"/>
      <c r="D29" s="19"/>
      <c r="E29" s="19"/>
      <c r="F29" s="23"/>
      <c r="G29" s="24"/>
      <c r="H29" s="24"/>
      <c r="I29" s="24"/>
      <c r="J29" s="18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>
        <f t="shared" si="2"/>
        <v>0</v>
      </c>
      <c r="AE29" s="18">
        <f t="shared" si="0"/>
        <v>0</v>
      </c>
      <c r="AF29" s="25" t="e">
        <f t="shared" si="1"/>
        <v>#DIV/0!</v>
      </c>
      <c r="AG29" s="26"/>
    </row>
    <row r="30" spans="1:35">
      <c r="A30" s="16"/>
      <c r="B30" s="21"/>
      <c r="C30" s="51"/>
      <c r="D30" s="19"/>
      <c r="E30" s="19"/>
      <c r="F30" s="23"/>
      <c r="G30" s="24"/>
      <c r="H30" s="24"/>
      <c r="I30" s="24"/>
      <c r="J30" s="18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>
        <f t="shared" si="2"/>
        <v>0</v>
      </c>
      <c r="AE30" s="18">
        <f t="shared" si="0"/>
        <v>0</v>
      </c>
      <c r="AF30" s="25" t="e">
        <f t="shared" si="1"/>
        <v>#DIV/0!</v>
      </c>
      <c r="AG30" s="26"/>
    </row>
    <row r="31" spans="1:35" ht="18.75" customHeight="1">
      <c r="A31" s="41"/>
      <c r="B31" s="42" t="s">
        <v>20</v>
      </c>
      <c r="C31" s="43"/>
      <c r="D31" s="44"/>
      <c r="E31" s="44"/>
      <c r="F31" s="45"/>
      <c r="G31" s="46"/>
      <c r="H31" s="46"/>
      <c r="I31" s="46"/>
      <c r="J31" s="47"/>
      <c r="K31" s="48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7"/>
      <c r="AE31" s="47"/>
      <c r="AF31" s="49" t="e">
        <f t="shared" si="1"/>
        <v>#DIV/0!</v>
      </c>
      <c r="AG31" s="50"/>
    </row>
    <row r="32" spans="1:35" ht="18.75" customHeight="1">
      <c r="A32" s="16">
        <v>1</v>
      </c>
      <c r="B32" s="52" t="s">
        <v>21</v>
      </c>
      <c r="C32" s="22">
        <v>0</v>
      </c>
      <c r="D32" s="19">
        <v>0</v>
      </c>
      <c r="E32" s="19"/>
      <c r="F32" s="23"/>
      <c r="G32" s="24"/>
      <c r="H32" s="24"/>
      <c r="I32" s="24"/>
      <c r="J32" s="18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>
        <f t="shared" si="2"/>
        <v>0</v>
      </c>
      <c r="AE32" s="18">
        <f t="shared" si="0"/>
        <v>0</v>
      </c>
      <c r="AF32" s="25" t="e">
        <f t="shared" si="1"/>
        <v>#DIV/0!</v>
      </c>
      <c r="AG32" s="26"/>
    </row>
    <row r="33" spans="1:37" ht="18.75" customHeight="1">
      <c r="A33" s="16">
        <v>2</v>
      </c>
      <c r="B33" s="52" t="s">
        <v>22</v>
      </c>
      <c r="C33" s="22">
        <v>326000</v>
      </c>
      <c r="D33" s="19">
        <v>326000</v>
      </c>
      <c r="E33" s="19"/>
      <c r="F33" s="23">
        <f>AI33</f>
        <v>319213</v>
      </c>
      <c r="G33" s="24"/>
      <c r="H33" s="24"/>
      <c r="I33" s="24"/>
      <c r="J33" s="18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>
        <f t="shared" si="2"/>
        <v>319213</v>
      </c>
      <c r="AE33" s="18">
        <f t="shared" si="0"/>
        <v>319213</v>
      </c>
      <c r="AF33" s="25">
        <f t="shared" si="1"/>
        <v>1</v>
      </c>
      <c r="AG33" s="26"/>
      <c r="AI33" s="2">
        <f>341557.91-(341557.91*7/107)</f>
        <v>319213</v>
      </c>
    </row>
    <row r="34" spans="1:37" ht="18.75" customHeight="1">
      <c r="A34" s="16">
        <v>3</v>
      </c>
      <c r="B34" s="52" t="s">
        <v>23</v>
      </c>
      <c r="C34" s="22">
        <v>8199000</v>
      </c>
      <c r="D34" s="19">
        <v>8199000</v>
      </c>
      <c r="E34" s="19"/>
      <c r="F34" s="23">
        <f>AI34</f>
        <v>8126039.252336449</v>
      </c>
      <c r="G34" s="24"/>
      <c r="H34" s="24"/>
      <c r="I34" s="24"/>
      <c r="J34" s="18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>
        <f>SUM(F34:AC34)</f>
        <v>8126039.252336449</v>
      </c>
      <c r="AE34" s="18">
        <f t="shared" si="0"/>
        <v>8126039.252336449</v>
      </c>
      <c r="AF34" s="25">
        <f t="shared" si="1"/>
        <v>1</v>
      </c>
      <c r="AG34" s="53"/>
      <c r="AH34" s="54"/>
      <c r="AI34" s="2">
        <f>8694862-(8694862*7/107)</f>
        <v>8126039.252336449</v>
      </c>
      <c r="AJ34" s="32"/>
    </row>
    <row r="35" spans="1:37">
      <c r="A35" s="16">
        <v>4</v>
      </c>
      <c r="B35" s="52" t="s">
        <v>24</v>
      </c>
      <c r="C35" s="22">
        <v>2890000</v>
      </c>
      <c r="D35" s="19">
        <v>2890000</v>
      </c>
      <c r="E35" s="19"/>
      <c r="F35" s="23">
        <f>AI35</f>
        <v>1858863</v>
      </c>
      <c r="G35" s="24"/>
      <c r="H35" s="24"/>
      <c r="I35" s="24"/>
      <c r="J35" s="18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>
        <f>SUM(F35:AC35)</f>
        <v>1858863</v>
      </c>
      <c r="AE35" s="18">
        <f t="shared" si="0"/>
        <v>1858863</v>
      </c>
      <c r="AF35" s="25">
        <f t="shared" si="1"/>
        <v>1</v>
      </c>
      <c r="AG35" s="53"/>
      <c r="AH35" s="54"/>
      <c r="AI35" s="2">
        <f>1988983.41-(1988983.41*7/107)</f>
        <v>1858863</v>
      </c>
      <c r="AJ35" s="55"/>
      <c r="AK35" s="27"/>
    </row>
    <row r="36" spans="1:37">
      <c r="A36" s="16">
        <v>5</v>
      </c>
      <c r="B36" s="52" t="s">
        <v>25</v>
      </c>
      <c r="C36" s="22">
        <v>100000</v>
      </c>
      <c r="D36" s="19">
        <v>100000</v>
      </c>
      <c r="E36" s="19"/>
      <c r="F36" s="23"/>
      <c r="G36" s="24"/>
      <c r="H36" s="24"/>
      <c r="I36" s="24"/>
      <c r="J36" s="18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8">
        <f t="shared" si="2"/>
        <v>0</v>
      </c>
      <c r="AE36" s="18">
        <f t="shared" si="0"/>
        <v>0</v>
      </c>
      <c r="AF36" s="25" t="e">
        <f t="shared" si="1"/>
        <v>#DIV/0!</v>
      </c>
      <c r="AG36" s="26"/>
    </row>
    <row r="37" spans="1:37">
      <c r="A37" s="16">
        <v>6</v>
      </c>
      <c r="B37" s="52" t="s">
        <v>26</v>
      </c>
      <c r="C37" s="22">
        <v>5151600</v>
      </c>
      <c r="D37" s="19">
        <v>5151600</v>
      </c>
      <c r="E37" s="19"/>
      <c r="F37" s="23"/>
      <c r="G37" s="24"/>
      <c r="H37" s="24"/>
      <c r="I37" s="24"/>
      <c r="J37" s="18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8"/>
      <c r="AE37" s="18"/>
      <c r="AF37" s="25" t="e">
        <f t="shared" si="1"/>
        <v>#DIV/0!</v>
      </c>
      <c r="AG37" s="26"/>
    </row>
    <row r="38" spans="1:37">
      <c r="A38" s="16">
        <v>7</v>
      </c>
      <c r="B38" s="52" t="s">
        <v>27</v>
      </c>
      <c r="C38" s="22">
        <v>107200</v>
      </c>
      <c r="D38" s="19">
        <v>107200</v>
      </c>
      <c r="E38" s="19"/>
      <c r="F38" s="23"/>
      <c r="G38" s="24"/>
      <c r="H38" s="24"/>
      <c r="I38" s="24"/>
      <c r="J38" s="18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8">
        <f t="shared" si="2"/>
        <v>0</v>
      </c>
      <c r="AE38" s="18">
        <f t="shared" si="0"/>
        <v>0</v>
      </c>
      <c r="AF38" s="25" t="e">
        <f t="shared" si="1"/>
        <v>#DIV/0!</v>
      </c>
      <c r="AG38" s="26"/>
    </row>
    <row r="39" spans="1:37">
      <c r="A39" s="16">
        <v>8</v>
      </c>
      <c r="B39" s="52" t="s">
        <v>28</v>
      </c>
      <c r="C39" s="51">
        <v>45000</v>
      </c>
      <c r="D39" s="18">
        <v>45000</v>
      </c>
      <c r="E39" s="19"/>
      <c r="F39" s="23">
        <f>AI39</f>
        <v>45000</v>
      </c>
      <c r="G39" s="24"/>
      <c r="H39" s="24"/>
      <c r="I39" s="24"/>
      <c r="J39" s="18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8">
        <f t="shared" si="2"/>
        <v>45000</v>
      </c>
      <c r="AE39" s="18">
        <f t="shared" si="0"/>
        <v>45000</v>
      </c>
      <c r="AF39" s="25">
        <f t="shared" si="1"/>
        <v>1</v>
      </c>
      <c r="AG39" s="26"/>
      <c r="AI39" s="199">
        <f>48150-(48150*7/107)</f>
        <v>45000</v>
      </c>
    </row>
    <row r="40" spans="1:37">
      <c r="A40" s="16"/>
      <c r="B40" s="52" t="s">
        <v>497</v>
      </c>
      <c r="C40" s="51"/>
      <c r="D40" s="19"/>
      <c r="E40" s="19"/>
      <c r="F40" s="23"/>
      <c r="G40" s="24"/>
      <c r="H40" s="24"/>
      <c r="I40" s="24"/>
      <c r="J40" s="18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8">
        <f t="shared" ref="AD40" si="3">SUM(F40:AC40)</f>
        <v>0</v>
      </c>
      <c r="AE40" s="18">
        <f t="shared" si="0"/>
        <v>0</v>
      </c>
      <c r="AF40" s="25" t="e">
        <f t="shared" si="1"/>
        <v>#DIV/0!</v>
      </c>
      <c r="AG40" s="26"/>
      <c r="AI40" s="33"/>
    </row>
    <row r="41" spans="1:37">
      <c r="A41" s="16">
        <v>9</v>
      </c>
      <c r="B41" s="52" t="s">
        <v>28</v>
      </c>
      <c r="C41" s="51">
        <v>132000</v>
      </c>
      <c r="D41" s="18"/>
      <c r="E41" s="18">
        <v>132000</v>
      </c>
      <c r="F41" s="23"/>
      <c r="G41" s="24"/>
      <c r="H41" s="24"/>
      <c r="I41" s="24">
        <f>SUM(AI41)</f>
        <v>111000</v>
      </c>
      <c r="J41" s="18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8">
        <f t="shared" si="2"/>
        <v>111000</v>
      </c>
      <c r="AE41" s="18">
        <f t="shared" si="0"/>
        <v>0</v>
      </c>
      <c r="AF41" s="25">
        <f t="shared" si="1"/>
        <v>0</v>
      </c>
      <c r="AG41" s="26"/>
      <c r="AI41" s="2">
        <f>118770-(118770*7/107)</f>
        <v>111000</v>
      </c>
    </row>
    <row r="42" spans="1:37">
      <c r="A42" s="16"/>
      <c r="B42" s="52" t="s">
        <v>547</v>
      </c>
      <c r="C42" s="51"/>
      <c r="D42" s="19"/>
      <c r="E42" s="19"/>
      <c r="F42" s="23"/>
      <c r="G42" s="24"/>
      <c r="H42" s="24"/>
      <c r="I42" s="24"/>
      <c r="J42" s="18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8">
        <f t="shared" si="2"/>
        <v>0</v>
      </c>
      <c r="AE42" s="18">
        <f t="shared" si="0"/>
        <v>0</v>
      </c>
      <c r="AF42" s="25" t="e">
        <f t="shared" si="1"/>
        <v>#DIV/0!</v>
      </c>
      <c r="AG42" s="26"/>
    </row>
    <row r="43" spans="1:37">
      <c r="A43" s="16">
        <v>10</v>
      </c>
      <c r="B43" s="52" t="s">
        <v>548</v>
      </c>
      <c r="C43" s="51">
        <v>3255</v>
      </c>
      <c r="D43" s="19">
        <v>3255</v>
      </c>
      <c r="E43" s="19"/>
      <c r="F43" s="23"/>
      <c r="G43" s="24"/>
      <c r="H43" s="24">
        <f>SUM(AI43)</f>
        <v>3255</v>
      </c>
      <c r="I43" s="24"/>
      <c r="J43" s="18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8">
        <f t="shared" si="2"/>
        <v>3255</v>
      </c>
      <c r="AE43" s="18">
        <f t="shared" si="0"/>
        <v>3255</v>
      </c>
      <c r="AF43" s="25">
        <f t="shared" si="1"/>
        <v>1</v>
      </c>
      <c r="AG43" s="26"/>
      <c r="AI43" s="2">
        <f>3482.85-(3482.85*7/107)</f>
        <v>3255</v>
      </c>
    </row>
    <row r="44" spans="1:37">
      <c r="A44" s="16">
        <v>11</v>
      </c>
      <c r="B44" s="52" t="s">
        <v>571</v>
      </c>
      <c r="C44" s="51">
        <v>10149.52</v>
      </c>
      <c r="D44" s="19">
        <v>10149.52</v>
      </c>
      <c r="E44" s="19"/>
      <c r="F44" s="23"/>
      <c r="G44" s="24"/>
      <c r="H44" s="24"/>
      <c r="I44" s="24"/>
      <c r="J44" s="18">
        <f>AI44</f>
        <v>10149.523364485982</v>
      </c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8">
        <f t="shared" si="2"/>
        <v>10149.523364485982</v>
      </c>
      <c r="AE44" s="18">
        <f t="shared" si="0"/>
        <v>10149.523364485982</v>
      </c>
      <c r="AF44" s="25">
        <f t="shared" si="1"/>
        <v>1</v>
      </c>
      <c r="AG44" s="26"/>
      <c r="AI44" s="27">
        <f>10859.99-(10859.99*7/107)</f>
        <v>10149.523364485982</v>
      </c>
    </row>
    <row r="45" spans="1:37">
      <c r="A45" s="16">
        <v>12</v>
      </c>
      <c r="B45" s="52" t="s">
        <v>616</v>
      </c>
      <c r="C45" s="51">
        <v>1896</v>
      </c>
      <c r="D45" s="19">
        <v>1896</v>
      </c>
      <c r="E45" s="19"/>
      <c r="F45" s="23"/>
      <c r="G45" s="24"/>
      <c r="H45" s="24"/>
      <c r="I45" s="24"/>
      <c r="J45" s="18"/>
      <c r="K45" s="20"/>
      <c r="L45" s="18">
        <f>AI45</f>
        <v>1896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8">
        <f t="shared" si="2"/>
        <v>1896</v>
      </c>
      <c r="AE45" s="18">
        <f t="shared" si="0"/>
        <v>1896</v>
      </c>
      <c r="AF45" s="25">
        <f t="shared" si="1"/>
        <v>1</v>
      </c>
      <c r="AG45" s="26"/>
      <c r="AI45" s="2">
        <f>2028.72-(2028.72*7/107)</f>
        <v>1896</v>
      </c>
    </row>
    <row r="46" spans="1:37">
      <c r="A46" s="16">
        <v>13</v>
      </c>
      <c r="B46" s="52" t="s">
        <v>571</v>
      </c>
      <c r="C46" s="51">
        <v>8637</v>
      </c>
      <c r="D46" s="19">
        <v>8637</v>
      </c>
      <c r="E46" s="19"/>
      <c r="F46" s="23"/>
      <c r="G46" s="24"/>
      <c r="H46" s="24"/>
      <c r="I46" s="24"/>
      <c r="J46" s="18"/>
      <c r="K46" s="20"/>
      <c r="L46" s="18">
        <f>AI46</f>
        <v>8637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8">
        <f t="shared" si="2"/>
        <v>8637</v>
      </c>
      <c r="AE46" s="18">
        <f t="shared" si="0"/>
        <v>8637</v>
      </c>
      <c r="AF46" s="25">
        <f t="shared" si="1"/>
        <v>1</v>
      </c>
      <c r="AG46" s="26"/>
      <c r="AI46" s="2">
        <f>9241.59-(9241.59*7/107)</f>
        <v>8637</v>
      </c>
    </row>
    <row r="47" spans="1:37">
      <c r="A47" s="16">
        <v>14</v>
      </c>
      <c r="B47" s="52" t="s">
        <v>615</v>
      </c>
      <c r="C47" s="51">
        <v>40500</v>
      </c>
      <c r="D47" s="19">
        <v>40500</v>
      </c>
      <c r="E47" s="19"/>
      <c r="F47" s="23"/>
      <c r="G47" s="24"/>
      <c r="H47" s="24"/>
      <c r="I47" s="24"/>
      <c r="J47" s="18"/>
      <c r="K47" s="20"/>
      <c r="L47" s="18">
        <f>AI47</f>
        <v>40500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8">
        <f t="shared" si="2"/>
        <v>40500</v>
      </c>
      <c r="AE47" s="18">
        <f t="shared" si="0"/>
        <v>40500</v>
      </c>
      <c r="AF47" s="25">
        <f t="shared" si="1"/>
        <v>1</v>
      </c>
      <c r="AG47" s="26"/>
      <c r="AI47" s="2">
        <f>43335-(43335*7/107)</f>
        <v>40500</v>
      </c>
    </row>
    <row r="48" spans="1:37">
      <c r="A48" s="16">
        <v>15</v>
      </c>
      <c r="B48" s="52" t="s">
        <v>613</v>
      </c>
      <c r="C48" s="51">
        <v>30930</v>
      </c>
      <c r="D48" s="19"/>
      <c r="E48" s="19">
        <v>30930</v>
      </c>
      <c r="F48" s="23"/>
      <c r="G48" s="24"/>
      <c r="H48" s="24"/>
      <c r="I48" s="24"/>
      <c r="J48" s="18"/>
      <c r="K48" s="20"/>
      <c r="L48" s="18"/>
      <c r="M48" s="20">
        <v>30930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8">
        <f t="shared" si="2"/>
        <v>30930</v>
      </c>
      <c r="AE48" s="18">
        <f t="shared" si="0"/>
        <v>0</v>
      </c>
      <c r="AF48" s="25">
        <f t="shared" si="1"/>
        <v>0</v>
      </c>
      <c r="AG48" s="26"/>
    </row>
    <row r="49" spans="1:35">
      <c r="A49" s="16">
        <v>16</v>
      </c>
      <c r="B49" s="52" t="s">
        <v>646</v>
      </c>
      <c r="C49" s="51">
        <v>4480</v>
      </c>
      <c r="D49" s="19">
        <v>4480</v>
      </c>
      <c r="E49" s="19"/>
      <c r="F49" s="23"/>
      <c r="G49" s="24"/>
      <c r="H49" s="24"/>
      <c r="I49" s="24"/>
      <c r="J49" s="18"/>
      <c r="K49" s="20"/>
      <c r="L49" s="18"/>
      <c r="M49" s="18"/>
      <c r="N49" s="19">
        <v>4480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8">
        <f t="shared" si="2"/>
        <v>4480</v>
      </c>
      <c r="AE49" s="18">
        <f t="shared" si="0"/>
        <v>4480</v>
      </c>
      <c r="AF49" s="25">
        <f t="shared" si="1"/>
        <v>1</v>
      </c>
      <c r="AG49" s="26"/>
    </row>
    <row r="50" spans="1:35">
      <c r="A50" s="16">
        <v>17</v>
      </c>
      <c r="B50" s="52" t="s">
        <v>647</v>
      </c>
      <c r="C50" s="51">
        <v>2830</v>
      </c>
      <c r="D50" s="19">
        <v>2830</v>
      </c>
      <c r="E50" s="19"/>
      <c r="F50" s="23"/>
      <c r="G50" s="24"/>
      <c r="H50" s="24"/>
      <c r="I50" s="24"/>
      <c r="J50" s="18"/>
      <c r="K50" s="20"/>
      <c r="L50" s="18"/>
      <c r="M50" s="18"/>
      <c r="N50" s="19">
        <v>2830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8">
        <f t="shared" si="2"/>
        <v>2830</v>
      </c>
      <c r="AE50" s="18">
        <f t="shared" si="0"/>
        <v>2830</v>
      </c>
      <c r="AF50" s="25">
        <f t="shared" si="1"/>
        <v>1</v>
      </c>
      <c r="AG50" s="26"/>
    </row>
    <row r="51" spans="1:35">
      <c r="A51" s="16">
        <v>18</v>
      </c>
      <c r="B51" s="52" t="s">
        <v>648</v>
      </c>
      <c r="C51" s="51">
        <v>1200</v>
      </c>
      <c r="D51" s="19"/>
      <c r="E51" s="19">
        <v>1200</v>
      </c>
      <c r="F51" s="23"/>
      <c r="G51" s="24"/>
      <c r="H51" s="24"/>
      <c r="I51" s="24"/>
      <c r="J51" s="18"/>
      <c r="K51" s="20"/>
      <c r="L51" s="18"/>
      <c r="M51" s="20"/>
      <c r="N51" s="20"/>
      <c r="O51" s="20">
        <v>1200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8">
        <f t="shared" si="2"/>
        <v>1200</v>
      </c>
      <c r="AE51" s="18">
        <f t="shared" si="0"/>
        <v>0</v>
      </c>
      <c r="AF51" s="25">
        <f t="shared" si="1"/>
        <v>0</v>
      </c>
      <c r="AG51" s="26"/>
    </row>
    <row r="52" spans="1:35">
      <c r="A52" s="16">
        <v>19</v>
      </c>
      <c r="B52" s="52" t="s">
        <v>649</v>
      </c>
      <c r="C52" s="51">
        <v>5510</v>
      </c>
      <c r="D52" s="19">
        <v>5510</v>
      </c>
      <c r="E52" s="19"/>
      <c r="F52" s="23"/>
      <c r="G52" s="24"/>
      <c r="H52" s="24"/>
      <c r="I52" s="24"/>
      <c r="J52" s="18"/>
      <c r="K52" s="20"/>
      <c r="L52" s="18"/>
      <c r="M52" s="20"/>
      <c r="N52" s="20">
        <v>5510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8">
        <f t="shared" si="2"/>
        <v>5510</v>
      </c>
      <c r="AE52" s="18">
        <f t="shared" si="0"/>
        <v>5510</v>
      </c>
      <c r="AF52" s="25">
        <f t="shared" si="1"/>
        <v>1</v>
      </c>
      <c r="AG52" s="26"/>
    </row>
    <row r="53" spans="1:35">
      <c r="A53" s="16">
        <v>20</v>
      </c>
      <c r="B53" s="52" t="s">
        <v>650</v>
      </c>
      <c r="C53" s="51">
        <v>35000</v>
      </c>
      <c r="D53" s="19">
        <v>35000</v>
      </c>
      <c r="E53" s="19"/>
      <c r="F53" s="23"/>
      <c r="G53" s="24"/>
      <c r="H53" s="24"/>
      <c r="I53" s="24"/>
      <c r="J53" s="18"/>
      <c r="K53" s="20"/>
      <c r="L53" s="18"/>
      <c r="M53" s="20"/>
      <c r="N53" s="20">
        <f>AI53</f>
        <v>34091.588785046726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8">
        <f t="shared" si="2"/>
        <v>34091.588785046726</v>
      </c>
      <c r="AE53" s="18">
        <f t="shared" si="0"/>
        <v>34091.588785046726</v>
      </c>
      <c r="AF53" s="25">
        <f t="shared" si="1"/>
        <v>1</v>
      </c>
      <c r="AG53" s="26"/>
      <c r="AI53" s="27">
        <f>36478-(36478*7/107)</f>
        <v>34091.588785046726</v>
      </c>
    </row>
    <row r="54" spans="1:35">
      <c r="A54" s="16">
        <v>21</v>
      </c>
      <c r="B54" s="21"/>
      <c r="C54" s="51"/>
      <c r="D54" s="19"/>
      <c r="E54" s="19"/>
      <c r="F54" s="23"/>
      <c r="G54" s="24"/>
      <c r="H54" s="24"/>
      <c r="I54" s="24"/>
      <c r="J54" s="18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8">
        <f t="shared" si="2"/>
        <v>0</v>
      </c>
      <c r="AE54" s="18">
        <f t="shared" si="0"/>
        <v>0</v>
      </c>
      <c r="AF54" s="25" t="e">
        <f t="shared" si="1"/>
        <v>#DIV/0!</v>
      </c>
      <c r="AG54" s="26"/>
    </row>
    <row r="55" spans="1:35">
      <c r="A55" s="16">
        <v>22</v>
      </c>
      <c r="B55" s="21"/>
      <c r="C55" s="51"/>
      <c r="D55" s="19"/>
      <c r="E55" s="19"/>
      <c r="F55" s="23"/>
      <c r="G55" s="24"/>
      <c r="H55" s="24"/>
      <c r="I55" s="24"/>
      <c r="J55" s="18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8">
        <f t="shared" si="2"/>
        <v>0</v>
      </c>
      <c r="AE55" s="18">
        <f t="shared" si="0"/>
        <v>0</v>
      </c>
      <c r="AF55" s="25" t="e">
        <f t="shared" si="1"/>
        <v>#DIV/0!</v>
      </c>
      <c r="AG55" s="26"/>
    </row>
    <row r="56" spans="1:35">
      <c r="A56" s="16">
        <v>23</v>
      </c>
      <c r="B56" s="21"/>
      <c r="C56" s="51"/>
      <c r="D56" s="19"/>
      <c r="E56" s="19"/>
      <c r="F56" s="23"/>
      <c r="G56" s="24"/>
      <c r="H56" s="24"/>
      <c r="I56" s="24"/>
      <c r="J56" s="18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8">
        <f t="shared" si="2"/>
        <v>0</v>
      </c>
      <c r="AE56" s="18">
        <f t="shared" si="0"/>
        <v>0</v>
      </c>
      <c r="AF56" s="25" t="e">
        <f t="shared" si="1"/>
        <v>#DIV/0!</v>
      </c>
      <c r="AG56" s="26"/>
    </row>
    <row r="57" spans="1:35">
      <c r="A57" s="16">
        <v>24</v>
      </c>
      <c r="B57" s="21"/>
      <c r="C57" s="51"/>
      <c r="D57" s="19"/>
      <c r="E57" s="19"/>
      <c r="F57" s="23"/>
      <c r="G57" s="24"/>
      <c r="H57" s="24"/>
      <c r="I57" s="24"/>
      <c r="J57" s="18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8">
        <f t="shared" si="2"/>
        <v>0</v>
      </c>
      <c r="AE57" s="18">
        <f t="shared" si="0"/>
        <v>0</v>
      </c>
      <c r="AF57" s="25" t="e">
        <f t="shared" si="1"/>
        <v>#DIV/0!</v>
      </c>
      <c r="AG57" s="26"/>
    </row>
    <row r="58" spans="1:35">
      <c r="A58" s="16">
        <v>25</v>
      </c>
      <c r="B58" s="21"/>
      <c r="C58" s="51"/>
      <c r="D58" s="19"/>
      <c r="E58" s="19"/>
      <c r="F58" s="23"/>
      <c r="G58" s="24"/>
      <c r="H58" s="24"/>
      <c r="I58" s="24"/>
      <c r="J58" s="18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8">
        <f t="shared" si="2"/>
        <v>0</v>
      </c>
      <c r="AE58" s="18">
        <f t="shared" si="0"/>
        <v>0</v>
      </c>
      <c r="AF58" s="25" t="e">
        <f t="shared" si="1"/>
        <v>#DIV/0!</v>
      </c>
      <c r="AG58" s="26"/>
    </row>
    <row r="59" spans="1:35">
      <c r="A59" s="16">
        <v>26</v>
      </c>
      <c r="B59" s="21"/>
      <c r="C59" s="51"/>
      <c r="D59" s="19"/>
      <c r="E59" s="19"/>
      <c r="F59" s="23"/>
      <c r="G59" s="24"/>
      <c r="H59" s="24"/>
      <c r="I59" s="24"/>
      <c r="J59" s="18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8">
        <f t="shared" si="2"/>
        <v>0</v>
      </c>
      <c r="AE59" s="18">
        <f t="shared" si="0"/>
        <v>0</v>
      </c>
      <c r="AF59" s="25" t="e">
        <f t="shared" si="1"/>
        <v>#DIV/0!</v>
      </c>
      <c r="AG59" s="26"/>
      <c r="AI59" s="27"/>
    </row>
    <row r="60" spans="1:35">
      <c r="A60" s="16">
        <v>27</v>
      </c>
      <c r="B60" s="21"/>
      <c r="C60" s="51"/>
      <c r="D60" s="19"/>
      <c r="E60" s="19"/>
      <c r="F60" s="23"/>
      <c r="G60" s="24"/>
      <c r="H60" s="24"/>
      <c r="I60" s="24"/>
      <c r="J60" s="18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18">
        <f t="shared" si="2"/>
        <v>0</v>
      </c>
      <c r="AE60" s="18">
        <f t="shared" si="0"/>
        <v>0</v>
      </c>
      <c r="AF60" s="25" t="e">
        <f t="shared" si="1"/>
        <v>#DIV/0!</v>
      </c>
      <c r="AG60" s="26"/>
      <c r="AI60" s="27"/>
    </row>
    <row r="61" spans="1:35">
      <c r="A61" s="16">
        <v>28</v>
      </c>
      <c r="B61" s="21"/>
      <c r="C61" s="51"/>
      <c r="D61" s="19"/>
      <c r="E61" s="19"/>
      <c r="F61" s="23"/>
      <c r="G61" s="24"/>
      <c r="H61" s="24"/>
      <c r="I61" s="24"/>
      <c r="J61" s="18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18">
        <f t="shared" si="2"/>
        <v>0</v>
      </c>
      <c r="AE61" s="18">
        <f t="shared" si="0"/>
        <v>0</v>
      </c>
      <c r="AF61" s="25" t="e">
        <f t="shared" si="1"/>
        <v>#DIV/0!</v>
      </c>
      <c r="AG61" s="26"/>
    </row>
    <row r="62" spans="1:35">
      <c r="A62" s="16">
        <v>29</v>
      </c>
      <c r="B62" s="21"/>
      <c r="C62" s="51"/>
      <c r="D62" s="19"/>
      <c r="E62" s="19"/>
      <c r="F62" s="23"/>
      <c r="G62" s="24"/>
      <c r="H62" s="24"/>
      <c r="I62" s="24"/>
      <c r="J62" s="18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18">
        <f t="shared" si="2"/>
        <v>0</v>
      </c>
      <c r="AE62" s="18">
        <f t="shared" si="0"/>
        <v>0</v>
      </c>
      <c r="AF62" s="25" t="e">
        <f t="shared" si="1"/>
        <v>#DIV/0!</v>
      </c>
      <c r="AG62" s="26"/>
    </row>
    <row r="63" spans="1:35">
      <c r="A63" s="16">
        <v>30</v>
      </c>
      <c r="B63" s="21"/>
      <c r="C63" s="51"/>
      <c r="D63" s="18"/>
      <c r="E63" s="19"/>
      <c r="F63" s="23"/>
      <c r="G63" s="24"/>
      <c r="H63" s="24"/>
      <c r="I63" s="24"/>
      <c r="J63" s="18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18">
        <f t="shared" si="2"/>
        <v>0</v>
      </c>
      <c r="AE63" s="18">
        <f t="shared" si="0"/>
        <v>0</v>
      </c>
      <c r="AF63" s="25" t="e">
        <f t="shared" si="1"/>
        <v>#DIV/0!</v>
      </c>
      <c r="AG63" s="26"/>
    </row>
    <row r="64" spans="1:35">
      <c r="A64" s="16">
        <v>31</v>
      </c>
      <c r="B64" s="21"/>
      <c r="C64" s="51"/>
      <c r="D64" s="18"/>
      <c r="E64" s="19"/>
      <c r="F64" s="23"/>
      <c r="G64" s="24"/>
      <c r="H64" s="24"/>
      <c r="I64" s="24"/>
      <c r="J64" s="18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18">
        <f t="shared" si="2"/>
        <v>0</v>
      </c>
      <c r="AE64" s="18">
        <f t="shared" si="0"/>
        <v>0</v>
      </c>
      <c r="AF64" s="25" t="e">
        <f t="shared" si="1"/>
        <v>#DIV/0!</v>
      </c>
      <c r="AG64" s="26"/>
    </row>
    <row r="65" spans="1:33">
      <c r="A65" s="16">
        <v>32</v>
      </c>
      <c r="B65" s="21"/>
      <c r="C65" s="51"/>
      <c r="D65" s="18"/>
      <c r="E65" s="19"/>
      <c r="F65" s="23"/>
      <c r="G65" s="24"/>
      <c r="H65" s="24"/>
      <c r="I65" s="24"/>
      <c r="J65" s="18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18">
        <f t="shared" si="2"/>
        <v>0</v>
      </c>
      <c r="AE65" s="18">
        <f t="shared" si="0"/>
        <v>0</v>
      </c>
      <c r="AF65" s="25" t="e">
        <f t="shared" si="1"/>
        <v>#DIV/0!</v>
      </c>
      <c r="AG65" s="26"/>
    </row>
    <row r="66" spans="1:33">
      <c r="A66" s="16">
        <v>33</v>
      </c>
      <c r="B66" s="21"/>
      <c r="C66" s="51"/>
      <c r="D66" s="18"/>
      <c r="E66" s="19"/>
      <c r="F66" s="23"/>
      <c r="G66" s="24"/>
      <c r="H66" s="24"/>
      <c r="I66" s="24"/>
      <c r="J66" s="18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18">
        <f t="shared" si="2"/>
        <v>0</v>
      </c>
      <c r="AE66" s="18">
        <f t="shared" si="0"/>
        <v>0</v>
      </c>
      <c r="AF66" s="25" t="e">
        <f t="shared" si="1"/>
        <v>#DIV/0!</v>
      </c>
      <c r="AG66" s="26"/>
    </row>
    <row r="67" spans="1:33">
      <c r="A67" s="16"/>
      <c r="B67" s="21"/>
      <c r="C67" s="51"/>
      <c r="D67" s="18"/>
      <c r="E67" s="19"/>
      <c r="F67" s="23"/>
      <c r="G67" s="24"/>
      <c r="H67" s="24"/>
      <c r="I67" s="24"/>
      <c r="J67" s="18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18">
        <f t="shared" si="2"/>
        <v>0</v>
      </c>
      <c r="AE67" s="18">
        <f t="shared" si="0"/>
        <v>0</v>
      </c>
      <c r="AF67" s="25" t="e">
        <f t="shared" si="1"/>
        <v>#DIV/0!</v>
      </c>
      <c r="AG67" s="26"/>
    </row>
    <row r="68" spans="1:33">
      <c r="A68" s="16"/>
      <c r="B68" s="21"/>
      <c r="C68" s="51"/>
      <c r="D68" s="18"/>
      <c r="E68" s="19"/>
      <c r="F68" s="23"/>
      <c r="G68" s="24"/>
      <c r="H68" s="24"/>
      <c r="I68" s="24"/>
      <c r="J68" s="18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18">
        <f t="shared" si="2"/>
        <v>0</v>
      </c>
      <c r="AE68" s="18">
        <f t="shared" si="0"/>
        <v>0</v>
      </c>
      <c r="AF68" s="25" t="e">
        <f t="shared" si="1"/>
        <v>#DIV/0!</v>
      </c>
      <c r="AG68" s="26"/>
    </row>
    <row r="69" spans="1:33">
      <c r="A69" s="16"/>
      <c r="B69" s="21"/>
      <c r="C69" s="51"/>
      <c r="D69" s="19"/>
      <c r="E69" s="19"/>
      <c r="F69" s="23"/>
      <c r="G69" s="24"/>
      <c r="H69" s="24"/>
      <c r="I69" s="24"/>
      <c r="J69" s="18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18">
        <f t="shared" si="2"/>
        <v>0</v>
      </c>
      <c r="AE69" s="18">
        <f t="shared" si="0"/>
        <v>0</v>
      </c>
      <c r="AF69" s="25" t="e">
        <f t="shared" si="1"/>
        <v>#DIV/0!</v>
      </c>
      <c r="AG69" s="26"/>
    </row>
    <row r="70" spans="1:33">
      <c r="A70" s="16"/>
      <c r="B70" s="21"/>
      <c r="C70" s="51"/>
      <c r="D70" s="19"/>
      <c r="E70" s="19"/>
      <c r="F70" s="23"/>
      <c r="G70" s="24"/>
      <c r="H70" s="24"/>
      <c r="I70" s="24"/>
      <c r="J70" s="18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18">
        <f t="shared" si="2"/>
        <v>0</v>
      </c>
      <c r="AE70" s="18">
        <f t="shared" si="0"/>
        <v>0</v>
      </c>
      <c r="AF70" s="25" t="e">
        <f t="shared" si="1"/>
        <v>#DIV/0!</v>
      </c>
      <c r="AG70" s="26"/>
    </row>
    <row r="71" spans="1:33">
      <c r="A71" s="16"/>
      <c r="B71" s="21"/>
      <c r="C71" s="51"/>
      <c r="D71" s="19"/>
      <c r="E71" s="19"/>
      <c r="F71" s="23"/>
      <c r="G71" s="24"/>
      <c r="H71" s="24"/>
      <c r="I71" s="24"/>
      <c r="J71" s="18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18">
        <f t="shared" si="2"/>
        <v>0</v>
      </c>
      <c r="AE71" s="18">
        <f t="shared" si="0"/>
        <v>0</v>
      </c>
      <c r="AF71" s="25" t="e">
        <f t="shared" si="1"/>
        <v>#DIV/0!</v>
      </c>
      <c r="AG71" s="26"/>
    </row>
    <row r="72" spans="1:33">
      <c r="A72" s="16"/>
      <c r="B72" s="21"/>
      <c r="C72" s="51"/>
      <c r="D72" s="19"/>
      <c r="E72" s="19"/>
      <c r="F72" s="23"/>
      <c r="G72" s="24"/>
      <c r="H72" s="24"/>
      <c r="I72" s="24"/>
      <c r="J72" s="18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18">
        <f t="shared" si="2"/>
        <v>0</v>
      </c>
      <c r="AE72" s="18">
        <f t="shared" si="0"/>
        <v>0</v>
      </c>
      <c r="AF72" s="25" t="e">
        <f t="shared" si="1"/>
        <v>#DIV/0!</v>
      </c>
      <c r="AG72" s="26"/>
    </row>
    <row r="73" spans="1:33">
      <c r="A73" s="16"/>
      <c r="B73" s="21"/>
      <c r="C73" s="51"/>
      <c r="D73" s="19"/>
      <c r="E73" s="19"/>
      <c r="F73" s="23"/>
      <c r="G73" s="24"/>
      <c r="H73" s="24"/>
      <c r="I73" s="24"/>
      <c r="J73" s="18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18">
        <f t="shared" si="2"/>
        <v>0</v>
      </c>
      <c r="AE73" s="18">
        <f t="shared" si="0"/>
        <v>0</v>
      </c>
      <c r="AF73" s="25" t="e">
        <f t="shared" si="1"/>
        <v>#DIV/0!</v>
      </c>
      <c r="AG73" s="26"/>
    </row>
    <row r="74" spans="1:33">
      <c r="A74" s="16"/>
      <c r="B74" s="21"/>
      <c r="C74" s="51"/>
      <c r="D74" s="19"/>
      <c r="E74" s="19"/>
      <c r="F74" s="23"/>
      <c r="G74" s="24"/>
      <c r="H74" s="24"/>
      <c r="I74" s="24"/>
      <c r="J74" s="18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18">
        <f t="shared" si="2"/>
        <v>0</v>
      </c>
      <c r="AE74" s="18">
        <f t="shared" si="0"/>
        <v>0</v>
      </c>
      <c r="AF74" s="25" t="e">
        <f>AE74/AD74</f>
        <v>#DIV/0!</v>
      </c>
      <c r="AG74" s="26"/>
    </row>
    <row r="75" spans="1:33">
      <c r="A75" s="56"/>
      <c r="B75" s="57" t="s">
        <v>29</v>
      </c>
      <c r="C75" s="58"/>
      <c r="D75" s="59"/>
      <c r="E75" s="59"/>
      <c r="F75" s="60"/>
      <c r="G75" s="61"/>
      <c r="H75" s="61"/>
      <c r="I75" s="61"/>
      <c r="J75" s="59"/>
      <c r="K75" s="62"/>
      <c r="L75" s="5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59">
        <f t="shared" si="2"/>
        <v>0</v>
      </c>
      <c r="AE75" s="59">
        <f t="shared" ref="AE75" si="4">F75+H75+J75</f>
        <v>0</v>
      </c>
      <c r="AF75" s="63" t="e">
        <f t="shared" si="1"/>
        <v>#DIV/0!</v>
      </c>
      <c r="AG75" s="64"/>
    </row>
    <row r="76" spans="1:33">
      <c r="A76" s="16"/>
      <c r="B76" s="17"/>
      <c r="C76" s="51"/>
      <c r="D76" s="18"/>
      <c r="E76" s="18"/>
      <c r="F76" s="65"/>
      <c r="G76" s="24"/>
      <c r="H76" s="24"/>
      <c r="I76" s="24"/>
      <c r="J76" s="18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18"/>
      <c r="AE76" s="18"/>
      <c r="AF76" s="25"/>
      <c r="AG76" s="26"/>
    </row>
    <row r="77" spans="1:33" s="69" customFormat="1">
      <c r="A77" s="66"/>
      <c r="B77" s="66" t="s">
        <v>30</v>
      </c>
      <c r="C77" s="51">
        <f t="shared" ref="C77:AC77" si="5">SUM(C9:C75)</f>
        <v>75569987.519999996</v>
      </c>
      <c r="D77" s="51">
        <f t="shared" si="5"/>
        <v>75405857.519999996</v>
      </c>
      <c r="E77" s="51">
        <f t="shared" si="5"/>
        <v>164130</v>
      </c>
      <c r="F77" s="51">
        <f t="shared" si="5"/>
        <v>10383745.25233645</v>
      </c>
      <c r="G77" s="51">
        <f t="shared" si="5"/>
        <v>0</v>
      </c>
      <c r="H77" s="51">
        <f t="shared" si="5"/>
        <v>3765546.2990654204</v>
      </c>
      <c r="I77" s="51">
        <f t="shared" si="5"/>
        <v>111000</v>
      </c>
      <c r="J77" s="51">
        <f t="shared" si="5"/>
        <v>3025177.5607476635</v>
      </c>
      <c r="K77" s="51">
        <f t="shared" si="5"/>
        <v>0</v>
      </c>
      <c r="L77" s="51">
        <f>SUM(L9:L75)</f>
        <v>2336126.4579439252</v>
      </c>
      <c r="M77" s="51">
        <f t="shared" si="5"/>
        <v>30930</v>
      </c>
      <c r="N77" s="51">
        <f t="shared" si="5"/>
        <v>46911.588785046726</v>
      </c>
      <c r="O77" s="51">
        <f t="shared" si="5"/>
        <v>1200</v>
      </c>
      <c r="P77" s="51">
        <f t="shared" si="5"/>
        <v>0</v>
      </c>
      <c r="Q77" s="51">
        <f t="shared" si="5"/>
        <v>0</v>
      </c>
      <c r="R77" s="51">
        <f t="shared" si="5"/>
        <v>0</v>
      </c>
      <c r="S77" s="51">
        <f t="shared" si="5"/>
        <v>0</v>
      </c>
      <c r="T77" s="51">
        <f t="shared" si="5"/>
        <v>0</v>
      </c>
      <c r="U77" s="51">
        <f t="shared" si="5"/>
        <v>0</v>
      </c>
      <c r="V77" s="51">
        <f t="shared" si="5"/>
        <v>0</v>
      </c>
      <c r="W77" s="51">
        <f t="shared" si="5"/>
        <v>0</v>
      </c>
      <c r="X77" s="51">
        <f t="shared" si="5"/>
        <v>0</v>
      </c>
      <c r="Y77" s="51">
        <f t="shared" si="5"/>
        <v>0</v>
      </c>
      <c r="Z77" s="51">
        <f t="shared" si="5"/>
        <v>0</v>
      </c>
      <c r="AA77" s="51">
        <f t="shared" si="5"/>
        <v>0</v>
      </c>
      <c r="AB77" s="51">
        <f t="shared" si="5"/>
        <v>0</v>
      </c>
      <c r="AC77" s="51">
        <f t="shared" si="5"/>
        <v>0</v>
      </c>
      <c r="AD77" s="51">
        <f>SUM(AD9:AD38)</f>
        <v>19401158.046728972</v>
      </c>
      <c r="AE77" s="51">
        <f>SUM(AE9:AE38)</f>
        <v>19401158.046728972</v>
      </c>
      <c r="AF77" s="67">
        <f>AE77/AD77</f>
        <v>1</v>
      </c>
      <c r="AG77" s="68"/>
    </row>
    <row r="78" spans="1:33" s="69" customFormat="1">
      <c r="A78" s="305"/>
      <c r="B78" s="305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68"/>
      <c r="AG78" s="68"/>
    </row>
    <row r="79" spans="1:33">
      <c r="A79" s="71"/>
      <c r="B79" s="2" t="s">
        <v>31</v>
      </c>
      <c r="C79" s="2"/>
      <c r="D79" s="72">
        <f>D77</f>
        <v>75405857.519999996</v>
      </c>
      <c r="E79" s="7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2"/>
      <c r="AE79" s="2"/>
    </row>
    <row r="80" spans="1:33" ht="19.5" thickBot="1">
      <c r="B80" s="69" t="s">
        <v>32</v>
      </c>
      <c r="C80" s="2"/>
      <c r="D80" s="76">
        <f>SUM(D79*0.3)</f>
        <v>22621757.255999997</v>
      </c>
      <c r="E80" s="77"/>
      <c r="AD80" s="69"/>
      <c r="AE80" s="2"/>
    </row>
    <row r="81" spans="1:62" ht="19.5" thickTop="1">
      <c r="C81" s="2"/>
      <c r="D81" s="2"/>
      <c r="E81" s="78"/>
      <c r="AD81" s="2"/>
      <c r="AE81" s="2"/>
      <c r="AF81" s="79"/>
      <c r="AG81" s="79"/>
    </row>
    <row r="82" spans="1:62">
      <c r="B82" s="2" t="s">
        <v>645</v>
      </c>
      <c r="C82" s="2"/>
      <c r="D82" s="77">
        <f>SUM(AE77)</f>
        <v>19401158.046728972</v>
      </c>
      <c r="E82" s="79"/>
      <c r="L82" s="51"/>
    </row>
    <row r="83" spans="1:62">
      <c r="B83" s="69" t="s">
        <v>33</v>
      </c>
      <c r="D83" s="80">
        <f>SUM(D82/D79)</f>
        <v>0.25728980061771961</v>
      </c>
    </row>
    <row r="85" spans="1:62" s="74" customFormat="1">
      <c r="A85" s="2"/>
      <c r="B85" s="2" t="s">
        <v>34</v>
      </c>
      <c r="C85" s="2"/>
      <c r="D85" s="78">
        <f>D82-D80</f>
        <v>-3220599.2092710249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8" spans="1:62" s="74" customFormat="1">
      <c r="A88" s="2"/>
      <c r="B88" s="2"/>
      <c r="C88" s="8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FFC1-959B-4324-AD18-029B44B1E172}">
  <sheetPr>
    <tabColor rgb="FFFF0000"/>
  </sheetPr>
  <dimension ref="A2:N33"/>
  <sheetViews>
    <sheetView tabSelected="1" zoomScale="70" zoomScaleNormal="70" workbookViewId="0">
      <selection activeCell="G21" sqref="G21"/>
    </sheetView>
  </sheetViews>
  <sheetFormatPr defaultColWidth="9.125" defaultRowHeight="21"/>
  <cols>
    <col min="1" max="1" width="6.875" style="121" bestFit="1" customWidth="1"/>
    <col min="2" max="2" width="50.125" style="83" customWidth="1"/>
    <col min="3" max="3" width="14.375" style="123" customWidth="1"/>
    <col min="4" max="4" width="15.75" style="123" customWidth="1"/>
    <col min="5" max="5" width="13.125" style="83" customWidth="1"/>
    <col min="6" max="6" width="26.375" style="83" customWidth="1"/>
    <col min="7" max="7" width="15.125" style="123" customWidth="1"/>
    <col min="8" max="8" width="20.375" style="124" customWidth="1"/>
    <col min="9" max="9" width="18.625" style="125" customWidth="1"/>
    <col min="10" max="10" width="21" style="83" customWidth="1"/>
    <col min="11" max="11" width="28.25" style="83" customWidth="1"/>
    <col min="12" max="12" width="24.375" style="83" customWidth="1"/>
    <col min="13" max="13" width="12" style="83" customWidth="1"/>
    <col min="14" max="14" width="13.25" style="83" customWidth="1"/>
    <col min="15" max="16384" width="9.125" style="83"/>
  </cols>
  <sheetData>
    <row r="2" spans="1:14">
      <c r="A2" s="433" t="s">
        <v>642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308" t="s">
        <v>35</v>
      </c>
    </row>
    <row r="3" spans="1:1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4">
      <c r="A4" s="433" t="s">
        <v>643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4">
      <c r="A5" s="308"/>
      <c r="B5" s="308"/>
      <c r="C5" s="308"/>
      <c r="D5" s="308"/>
      <c r="E5" s="308"/>
      <c r="F5" s="308"/>
      <c r="G5" s="308"/>
      <c r="H5" s="308"/>
      <c r="I5" s="308"/>
      <c r="J5" s="308"/>
    </row>
    <row r="6" spans="1:14" ht="42">
      <c r="A6" s="434" t="s">
        <v>36</v>
      </c>
      <c r="B6" s="434" t="s">
        <v>37</v>
      </c>
      <c r="C6" s="84" t="s">
        <v>38</v>
      </c>
      <c r="D6" s="85" t="s">
        <v>39</v>
      </c>
      <c r="E6" s="434" t="s">
        <v>40</v>
      </c>
      <c r="F6" s="434" t="s">
        <v>41</v>
      </c>
      <c r="G6" s="434"/>
      <c r="H6" s="435" t="s">
        <v>42</v>
      </c>
      <c r="I6" s="435"/>
      <c r="J6" s="436" t="s">
        <v>43</v>
      </c>
      <c r="K6" s="436" t="s">
        <v>44</v>
      </c>
      <c r="L6" s="430" t="s">
        <v>45</v>
      </c>
      <c r="M6" s="431" t="s">
        <v>46</v>
      </c>
      <c r="N6" s="432"/>
    </row>
    <row r="7" spans="1:14" ht="67.5" customHeight="1">
      <c r="A7" s="366"/>
      <c r="B7" s="366"/>
      <c r="C7" s="86" t="s">
        <v>47</v>
      </c>
      <c r="D7" s="87" t="s">
        <v>48</v>
      </c>
      <c r="E7" s="366"/>
      <c r="F7" s="296" t="s">
        <v>49</v>
      </c>
      <c r="G7" s="297" t="s">
        <v>50</v>
      </c>
      <c r="H7" s="303" t="s">
        <v>51</v>
      </c>
      <c r="I7" s="300" t="s">
        <v>52</v>
      </c>
      <c r="J7" s="434"/>
      <c r="K7" s="434"/>
      <c r="L7" s="437"/>
      <c r="M7" s="304" t="s">
        <v>53</v>
      </c>
      <c r="N7" s="299" t="s">
        <v>54</v>
      </c>
    </row>
    <row r="8" spans="1:14">
      <c r="A8" s="364">
        <v>1</v>
      </c>
      <c r="B8" s="94" t="s">
        <v>618</v>
      </c>
      <c r="C8" s="342">
        <v>4480</v>
      </c>
      <c r="D8" s="342">
        <v>4793.6000000000004</v>
      </c>
      <c r="E8" s="364" t="s">
        <v>56</v>
      </c>
      <c r="F8" s="296" t="s">
        <v>76</v>
      </c>
      <c r="G8" s="297">
        <v>4793.6000000000004</v>
      </c>
      <c r="H8" s="366" t="s">
        <v>76</v>
      </c>
      <c r="I8" s="391">
        <v>4793.6000000000004</v>
      </c>
      <c r="J8" s="296"/>
      <c r="K8" s="296"/>
      <c r="L8" s="330" t="s">
        <v>90</v>
      </c>
      <c r="M8" s="333" t="s">
        <v>59</v>
      </c>
      <c r="N8" s="345"/>
    </row>
    <row r="9" spans="1:14">
      <c r="A9" s="360"/>
      <c r="B9" s="97" t="s">
        <v>619</v>
      </c>
      <c r="C9" s="343"/>
      <c r="D9" s="343"/>
      <c r="E9" s="360"/>
      <c r="F9" s="294" t="s">
        <v>79</v>
      </c>
      <c r="G9" s="301">
        <v>5296.5</v>
      </c>
      <c r="H9" s="367"/>
      <c r="I9" s="392"/>
      <c r="J9" s="294" t="s">
        <v>61</v>
      </c>
      <c r="K9" s="100" t="s">
        <v>620</v>
      </c>
      <c r="L9" s="331"/>
      <c r="M9" s="334"/>
      <c r="N9" s="346"/>
    </row>
    <row r="10" spans="1:14">
      <c r="A10" s="360"/>
      <c r="B10" s="97"/>
      <c r="C10" s="343"/>
      <c r="D10" s="343"/>
      <c r="E10" s="360"/>
      <c r="F10" s="360" t="s">
        <v>82</v>
      </c>
      <c r="G10" s="350">
        <v>6034.8</v>
      </c>
      <c r="H10" s="367"/>
      <c r="I10" s="392"/>
      <c r="J10" s="294" t="s">
        <v>65</v>
      </c>
      <c r="K10" s="97" t="s">
        <v>621</v>
      </c>
      <c r="L10" s="331"/>
      <c r="M10" s="334"/>
      <c r="N10" s="346"/>
    </row>
    <row r="11" spans="1:14">
      <c r="A11" s="361"/>
      <c r="B11" s="298"/>
      <c r="C11" s="344"/>
      <c r="D11" s="344"/>
      <c r="E11" s="361"/>
      <c r="F11" s="361"/>
      <c r="G11" s="351"/>
      <c r="H11" s="368"/>
      <c r="I11" s="393"/>
      <c r="J11" s="298"/>
      <c r="K11" s="298"/>
      <c r="L11" s="332"/>
      <c r="M11" s="335"/>
      <c r="N11" s="347"/>
    </row>
    <row r="12" spans="1:14">
      <c r="A12" s="364">
        <v>2</v>
      </c>
      <c r="B12" s="94" t="s">
        <v>622</v>
      </c>
      <c r="C12" s="353">
        <v>2830</v>
      </c>
      <c r="D12" s="343">
        <v>3028.1</v>
      </c>
      <c r="E12" s="364" t="s">
        <v>56</v>
      </c>
      <c r="F12" s="296" t="s">
        <v>89</v>
      </c>
      <c r="G12" s="297">
        <v>3028.1</v>
      </c>
      <c r="H12" s="388" t="s">
        <v>89</v>
      </c>
      <c r="I12" s="391">
        <v>3028.1</v>
      </c>
      <c r="J12" s="296"/>
      <c r="K12" s="296"/>
      <c r="L12" s="330" t="s">
        <v>90</v>
      </c>
      <c r="M12" s="333" t="s">
        <v>59</v>
      </c>
      <c r="N12" s="333"/>
    </row>
    <row r="13" spans="1:14" ht="33" customHeight="1">
      <c r="A13" s="360"/>
      <c r="B13" s="97" t="s">
        <v>623</v>
      </c>
      <c r="C13" s="353"/>
      <c r="D13" s="343"/>
      <c r="E13" s="360"/>
      <c r="F13" s="360" t="s">
        <v>624</v>
      </c>
      <c r="G13" s="350" t="s">
        <v>625</v>
      </c>
      <c r="H13" s="389"/>
      <c r="I13" s="392"/>
      <c r="J13" s="309" t="s">
        <v>61</v>
      </c>
      <c r="K13" s="100" t="s">
        <v>626</v>
      </c>
      <c r="L13" s="331"/>
      <c r="M13" s="334"/>
      <c r="N13" s="334"/>
    </row>
    <row r="14" spans="1:14" ht="33" customHeight="1">
      <c r="A14" s="360"/>
      <c r="B14" s="97"/>
      <c r="C14" s="353"/>
      <c r="D14" s="343"/>
      <c r="E14" s="360"/>
      <c r="F14" s="360"/>
      <c r="G14" s="350"/>
      <c r="H14" s="389"/>
      <c r="I14" s="392"/>
      <c r="J14" s="310" t="s">
        <v>65</v>
      </c>
      <c r="K14" s="311" t="s">
        <v>627</v>
      </c>
      <c r="L14" s="331"/>
      <c r="M14" s="334"/>
      <c r="N14" s="334"/>
    </row>
    <row r="15" spans="1:14">
      <c r="A15" s="361"/>
      <c r="B15" s="102"/>
      <c r="C15" s="354"/>
      <c r="D15" s="344"/>
      <c r="E15" s="361"/>
      <c r="F15" s="295" t="s">
        <v>92</v>
      </c>
      <c r="G15" s="302">
        <v>4494</v>
      </c>
      <c r="H15" s="390"/>
      <c r="I15" s="393"/>
      <c r="J15" s="298"/>
      <c r="K15" s="298"/>
      <c r="L15" s="332"/>
      <c r="M15" s="335"/>
      <c r="N15" s="335"/>
    </row>
    <row r="16" spans="1:14" ht="33" customHeight="1">
      <c r="A16" s="364">
        <v>3</v>
      </c>
      <c r="B16" s="97" t="s">
        <v>628</v>
      </c>
      <c r="C16" s="353">
        <v>1200</v>
      </c>
      <c r="D16" s="343">
        <v>1284</v>
      </c>
      <c r="E16" s="364" t="s">
        <v>56</v>
      </c>
      <c r="F16" s="366" t="s">
        <v>629</v>
      </c>
      <c r="G16" s="327" t="s">
        <v>630</v>
      </c>
      <c r="H16" s="388" t="s">
        <v>629</v>
      </c>
      <c r="I16" s="391" t="s">
        <v>630</v>
      </c>
      <c r="J16" s="296"/>
      <c r="K16" s="296"/>
      <c r="L16" s="330" t="s">
        <v>77</v>
      </c>
      <c r="M16" s="333"/>
      <c r="N16" s="333" t="s">
        <v>59</v>
      </c>
    </row>
    <row r="17" spans="1:14" ht="33" customHeight="1">
      <c r="A17" s="360"/>
      <c r="B17" s="97" t="s">
        <v>2</v>
      </c>
      <c r="C17" s="353"/>
      <c r="D17" s="343"/>
      <c r="E17" s="360"/>
      <c r="F17" s="367"/>
      <c r="G17" s="328"/>
      <c r="H17" s="389"/>
      <c r="I17" s="392"/>
      <c r="J17" s="309" t="s">
        <v>61</v>
      </c>
      <c r="K17" s="100" t="s">
        <v>631</v>
      </c>
      <c r="L17" s="331"/>
      <c r="M17" s="334"/>
      <c r="N17" s="334"/>
    </row>
    <row r="18" spans="1:14">
      <c r="A18" s="360"/>
      <c r="B18" s="97" t="s">
        <v>632</v>
      </c>
      <c r="C18" s="353"/>
      <c r="D18" s="343"/>
      <c r="E18" s="360"/>
      <c r="F18" s="294" t="s">
        <v>603</v>
      </c>
      <c r="G18" s="301">
        <v>1712</v>
      </c>
      <c r="H18" s="389"/>
      <c r="I18" s="392"/>
      <c r="J18" s="294" t="s">
        <v>65</v>
      </c>
      <c r="K18" s="97" t="s">
        <v>633</v>
      </c>
      <c r="L18" s="331"/>
      <c r="M18" s="334"/>
      <c r="N18" s="334"/>
    </row>
    <row r="19" spans="1:14">
      <c r="A19" s="361"/>
      <c r="B19" s="102"/>
      <c r="C19" s="354"/>
      <c r="D19" s="344"/>
      <c r="E19" s="361"/>
      <c r="F19" s="295" t="s">
        <v>601</v>
      </c>
      <c r="G19" s="302">
        <v>2140</v>
      </c>
      <c r="H19" s="390"/>
      <c r="I19" s="393"/>
      <c r="J19" s="298"/>
      <c r="K19" s="298"/>
      <c r="L19" s="332"/>
      <c r="M19" s="335"/>
      <c r="N19" s="335"/>
    </row>
    <row r="20" spans="1:14" ht="21" customHeight="1">
      <c r="A20" s="364">
        <v>4</v>
      </c>
      <c r="B20" s="94" t="s">
        <v>634</v>
      </c>
      <c r="C20" s="353">
        <v>5510</v>
      </c>
      <c r="D20" s="343">
        <v>5895.7</v>
      </c>
      <c r="E20" s="364" t="s">
        <v>56</v>
      </c>
      <c r="F20" s="296" t="s">
        <v>76</v>
      </c>
      <c r="G20" s="297">
        <v>5895.7</v>
      </c>
      <c r="H20" s="365" t="s">
        <v>76</v>
      </c>
      <c r="I20" s="391">
        <v>5895.7</v>
      </c>
      <c r="J20" s="296"/>
      <c r="K20" s="296"/>
      <c r="L20" s="330" t="s">
        <v>77</v>
      </c>
      <c r="M20" s="333" t="s">
        <v>59</v>
      </c>
      <c r="N20" s="333"/>
    </row>
    <row r="21" spans="1:14">
      <c r="A21" s="360"/>
      <c r="B21" s="97" t="s">
        <v>2</v>
      </c>
      <c r="C21" s="353"/>
      <c r="D21" s="343"/>
      <c r="E21" s="360"/>
      <c r="F21" s="294" t="s">
        <v>79</v>
      </c>
      <c r="G21" s="301">
        <v>6527</v>
      </c>
      <c r="H21" s="362"/>
      <c r="I21" s="392"/>
      <c r="J21" s="294" t="s">
        <v>61</v>
      </c>
      <c r="K21" s="100" t="s">
        <v>635</v>
      </c>
      <c r="L21" s="331"/>
      <c r="M21" s="334"/>
      <c r="N21" s="334"/>
    </row>
    <row r="22" spans="1:14">
      <c r="A22" s="360"/>
      <c r="B22" s="97" t="s">
        <v>636</v>
      </c>
      <c r="C22" s="353"/>
      <c r="D22" s="343"/>
      <c r="E22" s="360"/>
      <c r="F22" s="360" t="s">
        <v>82</v>
      </c>
      <c r="G22" s="350">
        <v>6848</v>
      </c>
      <c r="H22" s="362"/>
      <c r="I22" s="392"/>
      <c r="J22" s="294" t="s">
        <v>65</v>
      </c>
      <c r="K22" s="97" t="s">
        <v>637</v>
      </c>
      <c r="L22" s="331"/>
      <c r="M22" s="334"/>
      <c r="N22" s="334"/>
    </row>
    <row r="23" spans="1:14">
      <c r="A23" s="361"/>
      <c r="B23" s="102"/>
      <c r="C23" s="354"/>
      <c r="D23" s="344"/>
      <c r="E23" s="361"/>
      <c r="F23" s="361"/>
      <c r="G23" s="351"/>
      <c r="H23" s="363"/>
      <c r="I23" s="393"/>
      <c r="J23" s="298"/>
      <c r="K23" s="298"/>
      <c r="L23" s="332"/>
      <c r="M23" s="335"/>
      <c r="N23" s="335"/>
    </row>
    <row r="24" spans="1:14" ht="21" customHeight="1">
      <c r="A24" s="340">
        <v>5</v>
      </c>
      <c r="B24" s="97" t="s">
        <v>164</v>
      </c>
      <c r="C24" s="353">
        <v>35000</v>
      </c>
      <c r="D24" s="343">
        <v>37028</v>
      </c>
      <c r="E24" s="340" t="s">
        <v>56</v>
      </c>
      <c r="F24" s="366" t="s">
        <v>68</v>
      </c>
      <c r="G24" s="327">
        <v>36478</v>
      </c>
      <c r="H24" s="366" t="s">
        <v>68</v>
      </c>
      <c r="I24" s="327">
        <v>36478</v>
      </c>
      <c r="J24" s="294"/>
      <c r="K24" s="294"/>
      <c r="L24" s="330" t="s">
        <v>651</v>
      </c>
      <c r="M24" s="333" t="s">
        <v>59</v>
      </c>
      <c r="N24" s="333"/>
    </row>
    <row r="25" spans="1:14" ht="21" customHeight="1">
      <c r="A25" s="340"/>
      <c r="B25" s="97" t="s">
        <v>638</v>
      </c>
      <c r="C25" s="353"/>
      <c r="D25" s="343"/>
      <c r="E25" s="340"/>
      <c r="F25" s="367"/>
      <c r="G25" s="328"/>
      <c r="H25" s="367"/>
      <c r="I25" s="328"/>
      <c r="J25" s="294" t="s">
        <v>71</v>
      </c>
      <c r="K25" s="293" t="s">
        <v>639</v>
      </c>
      <c r="L25" s="331"/>
      <c r="M25" s="334"/>
      <c r="N25" s="334"/>
    </row>
    <row r="26" spans="1:14" ht="21" customHeight="1">
      <c r="A26" s="340"/>
      <c r="B26" s="97" t="s">
        <v>640</v>
      </c>
      <c r="C26" s="353"/>
      <c r="D26" s="343"/>
      <c r="E26" s="340"/>
      <c r="F26" s="367"/>
      <c r="G26" s="328"/>
      <c r="H26" s="367"/>
      <c r="I26" s="328"/>
      <c r="J26" s="294" t="s">
        <v>65</v>
      </c>
      <c r="K26" s="97" t="s">
        <v>641</v>
      </c>
      <c r="L26" s="331"/>
      <c r="M26" s="334"/>
      <c r="N26" s="334"/>
    </row>
    <row r="27" spans="1:14" ht="21" customHeight="1">
      <c r="A27" s="341"/>
      <c r="B27" s="102"/>
      <c r="C27" s="354"/>
      <c r="D27" s="344"/>
      <c r="E27" s="341"/>
      <c r="F27" s="368"/>
      <c r="G27" s="329"/>
      <c r="H27" s="368"/>
      <c r="I27" s="329"/>
      <c r="J27" s="295"/>
      <c r="K27" s="295"/>
      <c r="L27" s="332"/>
      <c r="M27" s="335"/>
      <c r="N27" s="335"/>
    </row>
    <row r="28" spans="1:14" ht="21.75" customHeight="1">
      <c r="A28" s="114"/>
      <c r="B28" s="322" t="s">
        <v>486</v>
      </c>
      <c r="C28" s="322"/>
      <c r="D28" s="322"/>
      <c r="E28" s="322"/>
      <c r="F28" s="322"/>
      <c r="G28" s="322"/>
      <c r="H28" s="323"/>
      <c r="I28" s="115">
        <f>I8+I12+1200+I20+I24</f>
        <v>51395.4</v>
      </c>
      <c r="J28" s="116"/>
      <c r="K28" s="117"/>
      <c r="L28" s="118"/>
      <c r="M28" s="119"/>
      <c r="N28" s="120"/>
    </row>
    <row r="30" spans="1:14">
      <c r="C30" s="122"/>
      <c r="J30" s="125"/>
    </row>
    <row r="31" spans="1:14">
      <c r="J31" s="125"/>
      <c r="K31" s="125"/>
    </row>
    <row r="33" spans="10:10">
      <c r="J33" s="125"/>
    </row>
  </sheetData>
  <mergeCells count="68">
    <mergeCell ref="G13:G14"/>
    <mergeCell ref="F16:F17"/>
    <mergeCell ref="G16:G17"/>
    <mergeCell ref="L24:L27"/>
    <mergeCell ref="M24:M27"/>
    <mergeCell ref="N24:N27"/>
    <mergeCell ref="B28:H28"/>
    <mergeCell ref="G24:G27"/>
    <mergeCell ref="F24:F27"/>
    <mergeCell ref="H24:H27"/>
    <mergeCell ref="I24:I27"/>
    <mergeCell ref="A24:A27"/>
    <mergeCell ref="C24:C27"/>
    <mergeCell ref="D24:D27"/>
    <mergeCell ref="E24:E27"/>
    <mergeCell ref="H20:H23"/>
    <mergeCell ref="A20:A23"/>
    <mergeCell ref="C20:C23"/>
    <mergeCell ref="D20:D23"/>
    <mergeCell ref="E20:E23"/>
    <mergeCell ref="F22:F23"/>
    <mergeCell ref="G22:G23"/>
    <mergeCell ref="I16:I19"/>
    <mergeCell ref="L20:L23"/>
    <mergeCell ref="M20:M23"/>
    <mergeCell ref="N20:N23"/>
    <mergeCell ref="L16:L19"/>
    <mergeCell ref="M16:M19"/>
    <mergeCell ref="N16:N19"/>
    <mergeCell ref="I20:I23"/>
    <mergeCell ref="A16:A19"/>
    <mergeCell ref="C16:C19"/>
    <mergeCell ref="D16:D19"/>
    <mergeCell ref="E16:E19"/>
    <mergeCell ref="H16:H19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F10:F11"/>
    <mergeCell ref="G10:G11"/>
    <mergeCell ref="F13:F14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4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8CEB-2DB4-4CD2-93F1-B6D6B62B4EF6}">
  <sheetPr>
    <tabColor rgb="FF2CDC14"/>
    <pageSetUpPr fitToPage="1"/>
  </sheetPr>
  <dimension ref="A1:U196"/>
  <sheetViews>
    <sheetView view="pageBreakPreview" topLeftCell="C97" zoomScale="70" zoomScaleNormal="85" zoomScaleSheetLayoutView="70" workbookViewId="0">
      <selection activeCell="U27" sqref="U27"/>
    </sheetView>
  </sheetViews>
  <sheetFormatPr defaultColWidth="8.75" defaultRowHeight="20.25"/>
  <cols>
    <col min="1" max="1" width="6.625" style="131" customWidth="1"/>
    <col min="2" max="2" width="47.375" style="131" customWidth="1"/>
    <col min="3" max="3" width="14.75" style="184" customWidth="1"/>
    <col min="4" max="4" width="15.375" style="184" customWidth="1"/>
    <col min="5" max="5" width="12.625" style="131" customWidth="1"/>
    <col min="6" max="6" width="26.25" style="131" customWidth="1"/>
    <col min="7" max="7" width="16.25" style="184" customWidth="1"/>
    <col min="8" max="8" width="23" style="131" customWidth="1"/>
    <col min="9" max="9" width="17.25" style="184" customWidth="1"/>
    <col min="10" max="10" width="21.375" style="143" customWidth="1"/>
    <col min="11" max="11" width="31.875" style="143" customWidth="1"/>
    <col min="12" max="12" width="20.25" style="131" customWidth="1"/>
    <col min="13" max="14" width="9.75" style="131" customWidth="1"/>
    <col min="15" max="15" width="12.875" style="131" customWidth="1"/>
    <col min="16" max="16" width="13.125" style="131" customWidth="1"/>
    <col min="17" max="17" width="1.25" style="131" customWidth="1"/>
    <col min="18" max="18" width="7.625" style="131" customWidth="1"/>
    <col min="19" max="20" width="16.25" style="131" customWidth="1"/>
    <col min="21" max="21" width="16.5" style="131" customWidth="1"/>
    <col min="22" max="22" width="22" style="131" customWidth="1"/>
    <col min="23" max="16384" width="8.75" style="131"/>
  </cols>
  <sheetData>
    <row r="1" spans="1:21" s="126" customFormat="1" ht="18.75">
      <c r="A1" s="410" t="s">
        <v>109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21" s="126" customFormat="1" ht="18.75">
      <c r="A2" s="410" t="s">
        <v>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21" s="126" customFormat="1" ht="18.75">
      <c r="A3" s="410" t="s">
        <v>501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</row>
    <row r="6" spans="1:21" s="126" customFormat="1" ht="18.75">
      <c r="A6" s="411" t="s">
        <v>36</v>
      </c>
      <c r="B6" s="411" t="s">
        <v>111</v>
      </c>
      <c r="C6" s="412" t="s">
        <v>112</v>
      </c>
      <c r="D6" s="412" t="s">
        <v>113</v>
      </c>
      <c r="E6" s="413" t="s">
        <v>40</v>
      </c>
      <c r="F6" s="414" t="s">
        <v>41</v>
      </c>
      <c r="G6" s="414"/>
      <c r="H6" s="405" t="s">
        <v>114</v>
      </c>
      <c r="I6" s="405"/>
      <c r="J6" s="405" t="s">
        <v>115</v>
      </c>
      <c r="K6" s="405" t="s">
        <v>116</v>
      </c>
      <c r="L6" s="406" t="s">
        <v>117</v>
      </c>
      <c r="M6" s="407" t="s">
        <v>46</v>
      </c>
      <c r="N6" s="408"/>
      <c r="O6" s="409" t="s">
        <v>118</v>
      </c>
      <c r="P6" s="409" t="s">
        <v>119</v>
      </c>
    </row>
    <row r="7" spans="1:21" s="126" customFormat="1" ht="37.5">
      <c r="A7" s="411"/>
      <c r="B7" s="411"/>
      <c r="C7" s="412"/>
      <c r="D7" s="412"/>
      <c r="E7" s="413"/>
      <c r="F7" s="127" t="s">
        <v>49</v>
      </c>
      <c r="G7" s="128" t="s">
        <v>120</v>
      </c>
      <c r="H7" s="128" t="s">
        <v>51</v>
      </c>
      <c r="I7" s="128" t="s">
        <v>121</v>
      </c>
      <c r="J7" s="405"/>
      <c r="K7" s="405"/>
      <c r="L7" s="406"/>
      <c r="M7" s="129" t="s">
        <v>53</v>
      </c>
      <c r="N7" s="130" t="s">
        <v>54</v>
      </c>
      <c r="O7" s="409"/>
      <c r="P7" s="409"/>
      <c r="U7" s="223" t="s">
        <v>195</v>
      </c>
    </row>
    <row r="8" spans="1:21" ht="24" customHeight="1">
      <c r="A8" s="339">
        <v>1</v>
      </c>
      <c r="B8" s="94" t="s">
        <v>464</v>
      </c>
      <c r="C8" s="352">
        <v>45000</v>
      </c>
      <c r="D8" s="342">
        <v>48150</v>
      </c>
      <c r="E8" s="339" t="s">
        <v>56</v>
      </c>
      <c r="F8" s="88" t="s">
        <v>57</v>
      </c>
      <c r="G8" s="95">
        <v>48150</v>
      </c>
      <c r="H8" s="369" t="s">
        <v>57</v>
      </c>
      <c r="I8" s="327">
        <v>48150</v>
      </c>
      <c r="J8" s="104"/>
      <c r="K8" s="104"/>
      <c r="L8" s="330" t="s">
        <v>58</v>
      </c>
      <c r="M8" s="333" t="s">
        <v>59</v>
      </c>
      <c r="N8" s="345"/>
      <c r="O8" s="336">
        <v>244258</v>
      </c>
      <c r="P8" s="319" t="s">
        <v>502</v>
      </c>
      <c r="R8" s="144" t="s">
        <v>503</v>
      </c>
      <c r="S8" s="140">
        <f>SUM('แบบ สขร. ต.ค. 68'!I28,'แบบ สขร. ต.ค. 68'!I46)</f>
        <v>11110607.42</v>
      </c>
      <c r="T8" s="140">
        <f>SUM('แบบ สขร. ต.ค. 68'!I8:I27,'แบบ สขร. ต.ค. 68'!I38:I41,'แบบ สขร. ต.ค. 68'!I42:I45)</f>
        <v>11110607.42</v>
      </c>
      <c r="U8" s="140">
        <f>SUM(T8)</f>
        <v>11110607.42</v>
      </c>
    </row>
    <row r="9" spans="1:21" ht="24" customHeight="1">
      <c r="A9" s="340"/>
      <c r="B9" s="97" t="s">
        <v>465</v>
      </c>
      <c r="C9" s="353"/>
      <c r="D9" s="343"/>
      <c r="E9" s="340"/>
      <c r="F9" s="348" t="s">
        <v>64</v>
      </c>
      <c r="G9" s="350">
        <v>50825</v>
      </c>
      <c r="H9" s="370"/>
      <c r="I9" s="328"/>
      <c r="J9" s="106" t="s">
        <v>61</v>
      </c>
      <c r="K9" s="100" t="s">
        <v>466</v>
      </c>
      <c r="L9" s="331"/>
      <c r="M9" s="334"/>
      <c r="N9" s="346"/>
      <c r="O9" s="337"/>
      <c r="P9" s="320"/>
      <c r="R9" s="144" t="s">
        <v>504</v>
      </c>
      <c r="S9" s="140">
        <f>SUM('แบบ สขร. พ.ย. 68'!I24,'แบบ สขร. พ.ย. 68'!I42)</f>
        <v>4147904.54</v>
      </c>
      <c r="T9" s="140">
        <f>SUM('แบบ สขร. พ.ย. 68'!I8:I23,'แบบ สขร. พ.ย. 68'!I34:I37,'แบบ สขร. พ.ย. 68'!I38:I41)</f>
        <v>4147904.54</v>
      </c>
      <c r="U9" s="140">
        <f>SUM(U8+T9)</f>
        <v>15258511.960000001</v>
      </c>
    </row>
    <row r="10" spans="1:21" ht="24" customHeight="1">
      <c r="A10" s="340"/>
      <c r="B10" s="97"/>
      <c r="C10" s="353"/>
      <c r="D10" s="343"/>
      <c r="E10" s="340"/>
      <c r="F10" s="348"/>
      <c r="G10" s="350"/>
      <c r="H10" s="370"/>
      <c r="I10" s="328"/>
      <c r="J10" s="106" t="s">
        <v>65</v>
      </c>
      <c r="K10" s="97" t="s">
        <v>467</v>
      </c>
      <c r="L10" s="331"/>
      <c r="M10" s="334"/>
      <c r="N10" s="346"/>
      <c r="O10" s="337"/>
      <c r="P10" s="320"/>
      <c r="R10" s="144" t="s">
        <v>505</v>
      </c>
      <c r="S10" s="140">
        <f>SUM('แบบ สขร. ธ.ค. 68 '!I8:I11,'แบบ สขร. ธ.ค. 68 '!I22:I25,'แบบ สขร. ธ.ค. 68 '!I26:I34)</f>
        <v>3236939.99</v>
      </c>
      <c r="T10" s="140">
        <f>SUM('แบบ สขร. ธ.ค. 68 '!I12,'แบบ สขร. ธ.ค. 68 '!I35)</f>
        <v>3236939.99</v>
      </c>
      <c r="U10" s="140">
        <f>SUM(U9+T10)</f>
        <v>18495451.950000003</v>
      </c>
    </row>
    <row r="11" spans="1:21" ht="24" customHeight="1">
      <c r="A11" s="341"/>
      <c r="B11" s="102"/>
      <c r="C11" s="354"/>
      <c r="D11" s="344"/>
      <c r="E11" s="341"/>
      <c r="F11" s="147" t="s">
        <v>60</v>
      </c>
      <c r="G11" s="135">
        <v>51360</v>
      </c>
      <c r="H11" s="371"/>
      <c r="I11" s="329"/>
      <c r="J11" s="108"/>
      <c r="K11" s="108"/>
      <c r="L11" s="332"/>
      <c r="M11" s="335"/>
      <c r="N11" s="347"/>
      <c r="O11" s="338"/>
      <c r="P11" s="321"/>
      <c r="R11" s="144" t="s">
        <v>506</v>
      </c>
      <c r="S11" s="140">
        <f>SUM('แบบ สขร. ม.ค. 69'!I8:I23,'แบบ สขร. ม.ค. 69'!I38:I45)+30930</f>
        <v>2530585.31</v>
      </c>
      <c r="T11" s="140">
        <f>SUM('แบบ สขร. ม.ค. 69'!I28,'แบบ สขร. ม.ค. 69'!I46)</f>
        <v>2530585.31</v>
      </c>
      <c r="U11" s="140">
        <f>SUM(U10+T11)</f>
        <v>21026037.260000002</v>
      </c>
    </row>
    <row r="12" spans="1:21" ht="24" customHeight="1">
      <c r="A12" s="339">
        <v>2</v>
      </c>
      <c r="B12" s="94" t="s">
        <v>468</v>
      </c>
      <c r="C12" s="352">
        <v>25000</v>
      </c>
      <c r="D12" s="342">
        <v>24984.5</v>
      </c>
      <c r="E12" s="339" t="s">
        <v>56</v>
      </c>
      <c r="F12" s="366" t="s">
        <v>469</v>
      </c>
      <c r="G12" s="327">
        <v>24984.5</v>
      </c>
      <c r="H12" s="366" t="s">
        <v>469</v>
      </c>
      <c r="I12" s="327">
        <v>24984.5</v>
      </c>
      <c r="J12" s="104"/>
      <c r="K12" s="104"/>
      <c r="L12" s="330" t="s">
        <v>69</v>
      </c>
      <c r="M12" s="333" t="s">
        <v>59</v>
      </c>
      <c r="N12" s="345"/>
      <c r="O12" s="336">
        <v>244258</v>
      </c>
      <c r="P12" s="319" t="s">
        <v>502</v>
      </c>
      <c r="R12" s="144" t="s">
        <v>507</v>
      </c>
      <c r="S12" s="140">
        <f>SUM('แบบ สขร. ก.พ. 69'!I8:I15,'แบบ สขร. ก.พ. 69'!I20:I23,'แบบ สขร. ก.พ. 69'!I24:I27)+1200</f>
        <v>51395.4</v>
      </c>
      <c r="T12" s="140">
        <f>SUM('แบบ สขร. ก.พ. 69'!I28)</f>
        <v>51395.4</v>
      </c>
      <c r="U12" s="140">
        <f>SUM(U11+T12)</f>
        <v>21077432.66</v>
      </c>
    </row>
    <row r="13" spans="1:21" ht="24" customHeight="1">
      <c r="A13" s="340"/>
      <c r="B13" s="97" t="s">
        <v>470</v>
      </c>
      <c r="C13" s="353"/>
      <c r="D13" s="343"/>
      <c r="E13" s="340"/>
      <c r="F13" s="367"/>
      <c r="G13" s="328"/>
      <c r="H13" s="367"/>
      <c r="I13" s="328"/>
      <c r="J13" s="106" t="s">
        <v>61</v>
      </c>
      <c r="K13" s="100" t="s">
        <v>471</v>
      </c>
      <c r="L13" s="331"/>
      <c r="M13" s="334"/>
      <c r="N13" s="346"/>
      <c r="O13" s="337"/>
      <c r="P13" s="320"/>
      <c r="R13" s="144" t="s">
        <v>508</v>
      </c>
      <c r="S13" s="140"/>
    </row>
    <row r="14" spans="1:21" ht="24" customHeight="1">
      <c r="A14" s="340"/>
      <c r="B14" s="97"/>
      <c r="C14" s="353"/>
      <c r="D14" s="343"/>
      <c r="E14" s="340"/>
      <c r="F14" s="106" t="s">
        <v>472</v>
      </c>
      <c r="G14" s="101">
        <v>27285</v>
      </c>
      <c r="H14" s="367"/>
      <c r="I14" s="328"/>
      <c r="J14" s="106" t="s">
        <v>65</v>
      </c>
      <c r="K14" s="97" t="s">
        <v>473</v>
      </c>
      <c r="L14" s="331"/>
      <c r="M14" s="334"/>
      <c r="N14" s="346"/>
      <c r="O14" s="337"/>
      <c r="P14" s="320"/>
      <c r="R14" s="144" t="s">
        <v>509</v>
      </c>
      <c r="S14" s="140"/>
    </row>
    <row r="15" spans="1:21" ht="24" customHeight="1">
      <c r="A15" s="341"/>
      <c r="B15" s="102"/>
      <c r="C15" s="354"/>
      <c r="D15" s="344"/>
      <c r="E15" s="341"/>
      <c r="F15" s="108" t="s">
        <v>474</v>
      </c>
      <c r="G15" s="135">
        <v>27820</v>
      </c>
      <c r="H15" s="368"/>
      <c r="I15" s="329"/>
      <c r="J15" s="108"/>
      <c r="K15" s="108"/>
      <c r="L15" s="332"/>
      <c r="M15" s="335"/>
      <c r="N15" s="347"/>
      <c r="O15" s="338"/>
      <c r="P15" s="321"/>
      <c r="R15" s="144" t="s">
        <v>510</v>
      </c>
      <c r="S15" s="140"/>
    </row>
    <row r="16" spans="1:21" ht="24" customHeight="1">
      <c r="A16" s="339">
        <v>3</v>
      </c>
      <c r="B16" s="94" t="s">
        <v>475</v>
      </c>
      <c r="C16" s="342">
        <v>9800</v>
      </c>
      <c r="D16" s="342">
        <v>10486</v>
      </c>
      <c r="E16" s="364" t="s">
        <v>56</v>
      </c>
      <c r="F16" s="324" t="s">
        <v>469</v>
      </c>
      <c r="G16" s="327">
        <v>10486</v>
      </c>
      <c r="H16" s="388" t="s">
        <v>469</v>
      </c>
      <c r="I16" s="327">
        <v>10486</v>
      </c>
      <c r="J16" s="104"/>
      <c r="K16" s="104"/>
      <c r="L16" s="330" t="s">
        <v>77</v>
      </c>
      <c r="M16" s="333" t="s">
        <v>59</v>
      </c>
      <c r="N16" s="333"/>
      <c r="O16" s="336">
        <v>244258</v>
      </c>
      <c r="P16" s="319" t="s">
        <v>502</v>
      </c>
      <c r="R16" s="144" t="s">
        <v>511</v>
      </c>
      <c r="S16" s="140"/>
    </row>
    <row r="17" spans="1:21" ht="24" customHeight="1">
      <c r="A17" s="340"/>
      <c r="B17" s="97" t="s">
        <v>476</v>
      </c>
      <c r="C17" s="343"/>
      <c r="D17" s="343"/>
      <c r="E17" s="360"/>
      <c r="F17" s="325"/>
      <c r="G17" s="328"/>
      <c r="H17" s="389"/>
      <c r="I17" s="328"/>
      <c r="J17" s="106" t="s">
        <v>61</v>
      </c>
      <c r="K17" s="100" t="s">
        <v>477</v>
      </c>
      <c r="L17" s="331"/>
      <c r="M17" s="334"/>
      <c r="N17" s="334"/>
      <c r="O17" s="337"/>
      <c r="P17" s="320"/>
      <c r="R17" s="144" t="s">
        <v>512</v>
      </c>
      <c r="S17" s="140"/>
    </row>
    <row r="18" spans="1:21" ht="24" customHeight="1">
      <c r="A18" s="340"/>
      <c r="B18" s="97" t="s">
        <v>478</v>
      </c>
      <c r="C18" s="343"/>
      <c r="D18" s="343"/>
      <c r="E18" s="360"/>
      <c r="F18" s="106" t="s">
        <v>472</v>
      </c>
      <c r="G18" s="101">
        <v>11235</v>
      </c>
      <c r="H18" s="389"/>
      <c r="I18" s="328"/>
      <c r="J18" s="106" t="s">
        <v>65</v>
      </c>
      <c r="K18" s="97" t="s">
        <v>473</v>
      </c>
      <c r="L18" s="331"/>
      <c r="M18" s="334"/>
      <c r="N18" s="334"/>
      <c r="O18" s="337"/>
      <c r="P18" s="320"/>
      <c r="R18" s="144" t="s">
        <v>513</v>
      </c>
      <c r="S18" s="140"/>
    </row>
    <row r="19" spans="1:21" ht="24" customHeight="1">
      <c r="A19" s="341"/>
      <c r="B19" s="102"/>
      <c r="C19" s="344"/>
      <c r="D19" s="344"/>
      <c r="E19" s="361"/>
      <c r="F19" s="108" t="s">
        <v>474</v>
      </c>
      <c r="G19" s="135">
        <v>12305</v>
      </c>
      <c r="H19" s="390"/>
      <c r="I19" s="329"/>
      <c r="J19" s="108"/>
      <c r="K19" s="108"/>
      <c r="L19" s="332"/>
      <c r="M19" s="335"/>
      <c r="N19" s="335"/>
      <c r="O19" s="338"/>
      <c r="P19" s="321"/>
      <c r="R19" s="144" t="s">
        <v>514</v>
      </c>
      <c r="S19" s="140"/>
    </row>
    <row r="20" spans="1:21" ht="24" customHeight="1" thickBot="1">
      <c r="A20" s="339">
        <v>4</v>
      </c>
      <c r="B20" s="97" t="s">
        <v>170</v>
      </c>
      <c r="C20" s="343">
        <v>325680</v>
      </c>
      <c r="D20" s="343">
        <v>348477.6</v>
      </c>
      <c r="E20" s="360" t="s">
        <v>56</v>
      </c>
      <c r="F20" s="324" t="s">
        <v>222</v>
      </c>
      <c r="G20" s="327">
        <v>341557.91</v>
      </c>
      <c r="H20" s="324" t="s">
        <v>222</v>
      </c>
      <c r="I20" s="328">
        <v>341557.91</v>
      </c>
      <c r="J20" s="106"/>
      <c r="K20" s="106"/>
      <c r="L20" s="330" t="s">
        <v>85</v>
      </c>
      <c r="M20" s="333" t="s">
        <v>59</v>
      </c>
      <c r="N20" s="333"/>
      <c r="O20" s="336">
        <v>244258</v>
      </c>
      <c r="P20" s="319" t="s">
        <v>502</v>
      </c>
      <c r="R20" s="222" t="s">
        <v>195</v>
      </c>
      <c r="S20" s="220">
        <f>SUM(S8:S19)</f>
        <v>21077432.66</v>
      </c>
      <c r="T20" s="220">
        <f>SUM(T8:T19)</f>
        <v>21077432.66</v>
      </c>
      <c r="U20" s="221"/>
    </row>
    <row r="21" spans="1:21" ht="24" customHeight="1" thickTop="1">
      <c r="A21" s="340"/>
      <c r="B21" s="97" t="s">
        <v>225</v>
      </c>
      <c r="C21" s="343"/>
      <c r="D21" s="343"/>
      <c r="E21" s="360"/>
      <c r="F21" s="325"/>
      <c r="G21" s="328"/>
      <c r="H21" s="325"/>
      <c r="I21" s="328"/>
      <c r="J21" s="106" t="s">
        <v>71</v>
      </c>
      <c r="K21" s="100" t="s">
        <v>479</v>
      </c>
      <c r="L21" s="331"/>
      <c r="M21" s="334"/>
      <c r="N21" s="334"/>
      <c r="O21" s="337"/>
      <c r="P21" s="320"/>
      <c r="S21" s="140"/>
    </row>
    <row r="22" spans="1:21" ht="24" customHeight="1">
      <c r="A22" s="340"/>
      <c r="B22" s="97" t="s">
        <v>480</v>
      </c>
      <c r="C22" s="343"/>
      <c r="D22" s="343"/>
      <c r="E22" s="360"/>
      <c r="F22" s="325"/>
      <c r="G22" s="328"/>
      <c r="H22" s="325"/>
      <c r="I22" s="328"/>
      <c r="J22" s="106" t="s">
        <v>65</v>
      </c>
      <c r="K22" s="97" t="s">
        <v>481</v>
      </c>
      <c r="L22" s="331"/>
      <c r="M22" s="334"/>
      <c r="N22" s="334"/>
      <c r="O22" s="337"/>
      <c r="P22" s="320"/>
      <c r="S22" s="140"/>
    </row>
    <row r="23" spans="1:21" ht="24" customHeight="1">
      <c r="A23" s="341"/>
      <c r="B23" s="97"/>
      <c r="C23" s="344"/>
      <c r="D23" s="344"/>
      <c r="E23" s="361"/>
      <c r="F23" s="326"/>
      <c r="G23" s="329"/>
      <c r="H23" s="326"/>
      <c r="I23" s="329"/>
      <c r="J23" s="106"/>
      <c r="K23" s="106"/>
      <c r="L23" s="332"/>
      <c r="M23" s="335"/>
      <c r="N23" s="335"/>
      <c r="O23" s="338"/>
      <c r="P23" s="321"/>
      <c r="S23" s="140"/>
    </row>
    <row r="24" spans="1:21" ht="24" customHeight="1">
      <c r="A24" s="339">
        <v>5</v>
      </c>
      <c r="B24" s="94" t="s">
        <v>482</v>
      </c>
      <c r="C24" s="352">
        <v>2000</v>
      </c>
      <c r="D24" s="342">
        <v>1583.6</v>
      </c>
      <c r="E24" s="339" t="s">
        <v>56</v>
      </c>
      <c r="F24" s="110" t="s">
        <v>76</v>
      </c>
      <c r="G24" s="95">
        <v>1480</v>
      </c>
      <c r="H24" s="355" t="s">
        <v>76</v>
      </c>
      <c r="I24" s="327">
        <v>1583.6</v>
      </c>
      <c r="J24" s="104"/>
      <c r="K24" s="104"/>
      <c r="L24" s="330" t="s">
        <v>90</v>
      </c>
      <c r="M24" s="333" t="s">
        <v>59</v>
      </c>
      <c r="N24" s="345"/>
      <c r="O24" s="336">
        <v>244258</v>
      </c>
      <c r="P24" s="319" t="s">
        <v>502</v>
      </c>
      <c r="S24" s="140"/>
    </row>
    <row r="25" spans="1:21" ht="24" customHeight="1">
      <c r="A25" s="340"/>
      <c r="B25" s="97" t="s">
        <v>483</v>
      </c>
      <c r="C25" s="353"/>
      <c r="D25" s="343"/>
      <c r="E25" s="340"/>
      <c r="F25" s="107" t="s">
        <v>79</v>
      </c>
      <c r="G25" s="101">
        <v>1550</v>
      </c>
      <c r="H25" s="356"/>
      <c r="I25" s="328"/>
      <c r="J25" s="106" t="s">
        <v>61</v>
      </c>
      <c r="K25" s="100" t="s">
        <v>484</v>
      </c>
      <c r="L25" s="331"/>
      <c r="M25" s="334"/>
      <c r="N25" s="346"/>
      <c r="O25" s="337"/>
      <c r="P25" s="320"/>
      <c r="S25" s="140"/>
    </row>
    <row r="26" spans="1:21" ht="24" customHeight="1">
      <c r="A26" s="340"/>
      <c r="B26" s="97"/>
      <c r="C26" s="353"/>
      <c r="D26" s="343"/>
      <c r="E26" s="340"/>
      <c r="F26" s="348" t="s">
        <v>82</v>
      </c>
      <c r="G26" s="350">
        <v>1819</v>
      </c>
      <c r="H26" s="356"/>
      <c r="I26" s="328"/>
      <c r="J26" s="106" t="s">
        <v>65</v>
      </c>
      <c r="K26" s="97" t="s">
        <v>485</v>
      </c>
      <c r="L26" s="331"/>
      <c r="M26" s="334"/>
      <c r="N26" s="346"/>
      <c r="O26" s="337"/>
      <c r="P26" s="320"/>
      <c r="S26" s="140"/>
    </row>
    <row r="27" spans="1:21" ht="24" customHeight="1">
      <c r="A27" s="341"/>
      <c r="B27" s="102"/>
      <c r="C27" s="354"/>
      <c r="D27" s="344"/>
      <c r="E27" s="341"/>
      <c r="F27" s="349"/>
      <c r="G27" s="351"/>
      <c r="H27" s="357"/>
      <c r="I27" s="329"/>
      <c r="J27" s="108"/>
      <c r="K27" s="108"/>
      <c r="L27" s="332"/>
      <c r="M27" s="335"/>
      <c r="N27" s="347"/>
      <c r="O27" s="338"/>
      <c r="P27" s="321"/>
      <c r="S27" s="140"/>
    </row>
    <row r="28" spans="1:21" ht="24" customHeight="1">
      <c r="A28" s="364">
        <v>6</v>
      </c>
      <c r="B28" s="94" t="s">
        <v>185</v>
      </c>
      <c r="C28" s="342">
        <v>8198130.8399999999</v>
      </c>
      <c r="D28" s="394">
        <v>8763737</v>
      </c>
      <c r="E28" s="339" t="s">
        <v>186</v>
      </c>
      <c r="F28" s="324" t="s">
        <v>68</v>
      </c>
      <c r="G28" s="327">
        <v>8700000</v>
      </c>
      <c r="H28" s="324" t="s">
        <v>68</v>
      </c>
      <c r="I28" s="327">
        <v>8694862</v>
      </c>
      <c r="J28" s="104"/>
      <c r="K28" s="104"/>
      <c r="L28" s="330" t="s">
        <v>187</v>
      </c>
      <c r="M28" s="333" t="s">
        <v>59</v>
      </c>
      <c r="N28" s="333"/>
      <c r="O28" s="336">
        <v>244258</v>
      </c>
      <c r="P28" s="319" t="s">
        <v>502</v>
      </c>
      <c r="S28" s="140"/>
    </row>
    <row r="29" spans="1:21" ht="24" customHeight="1">
      <c r="A29" s="360"/>
      <c r="B29" s="97" t="s">
        <v>166</v>
      </c>
      <c r="C29" s="343"/>
      <c r="D29" s="395"/>
      <c r="E29" s="340"/>
      <c r="F29" s="325"/>
      <c r="G29" s="328"/>
      <c r="H29" s="325"/>
      <c r="I29" s="328"/>
      <c r="J29" s="106" t="s">
        <v>71</v>
      </c>
      <c r="K29" s="100" t="s">
        <v>487</v>
      </c>
      <c r="L29" s="331"/>
      <c r="M29" s="334"/>
      <c r="N29" s="334"/>
      <c r="O29" s="337"/>
      <c r="P29" s="320"/>
      <c r="S29" s="140"/>
    </row>
    <row r="30" spans="1:21" ht="24" customHeight="1">
      <c r="A30" s="360"/>
      <c r="B30" s="97" t="s">
        <v>488</v>
      </c>
      <c r="C30" s="343"/>
      <c r="D30" s="395"/>
      <c r="E30" s="340"/>
      <c r="F30" s="325"/>
      <c r="G30" s="328"/>
      <c r="H30" s="325"/>
      <c r="I30" s="328"/>
      <c r="J30" s="106" t="s">
        <v>65</v>
      </c>
      <c r="K30" s="97" t="s">
        <v>489</v>
      </c>
      <c r="L30" s="331"/>
      <c r="M30" s="334"/>
      <c r="N30" s="334"/>
      <c r="O30" s="337"/>
      <c r="P30" s="320"/>
      <c r="S30" s="140"/>
    </row>
    <row r="31" spans="1:21" ht="24" customHeight="1">
      <c r="A31" s="360"/>
      <c r="B31" s="97"/>
      <c r="C31" s="343"/>
      <c r="D31" s="395"/>
      <c r="E31" s="340"/>
      <c r="F31" s="326"/>
      <c r="G31" s="329"/>
      <c r="H31" s="326"/>
      <c r="I31" s="328"/>
      <c r="J31" s="106"/>
      <c r="K31" s="97"/>
      <c r="L31" s="332"/>
      <c r="M31" s="335"/>
      <c r="N31" s="335"/>
      <c r="O31" s="338"/>
      <c r="P31" s="321"/>
      <c r="S31" s="140"/>
    </row>
    <row r="32" spans="1:21" ht="24" customHeight="1">
      <c r="A32" s="364">
        <v>7</v>
      </c>
      <c r="B32" s="94" t="s">
        <v>191</v>
      </c>
      <c r="C32" s="342">
        <v>2890000</v>
      </c>
      <c r="D32" s="342">
        <v>3092023.94</v>
      </c>
      <c r="E32" s="364" t="s">
        <v>186</v>
      </c>
      <c r="F32" s="324" t="s">
        <v>192</v>
      </c>
      <c r="G32" s="327">
        <v>1989898.98</v>
      </c>
      <c r="H32" s="324" t="s">
        <v>192</v>
      </c>
      <c r="I32" s="327">
        <v>1988983.41</v>
      </c>
      <c r="J32" s="141"/>
      <c r="K32" s="142"/>
      <c r="L32" s="330" t="s">
        <v>193</v>
      </c>
      <c r="M32" s="333" t="s">
        <v>59</v>
      </c>
      <c r="N32" s="345"/>
      <c r="O32" s="336">
        <v>244258</v>
      </c>
      <c r="P32" s="319" t="s">
        <v>502</v>
      </c>
      <c r="S32" s="140"/>
    </row>
    <row r="33" spans="1:19" ht="24" customHeight="1">
      <c r="A33" s="360"/>
      <c r="B33" s="97" t="s">
        <v>166</v>
      </c>
      <c r="C33" s="343"/>
      <c r="D33" s="343"/>
      <c r="E33" s="360"/>
      <c r="F33" s="325"/>
      <c r="G33" s="328"/>
      <c r="H33" s="325"/>
      <c r="I33" s="328"/>
      <c r="J33" s="106" t="s">
        <v>61</v>
      </c>
      <c r="K33" s="100" t="s">
        <v>490</v>
      </c>
      <c r="L33" s="331"/>
      <c r="M33" s="334"/>
      <c r="N33" s="346"/>
      <c r="O33" s="337"/>
      <c r="P33" s="320"/>
      <c r="S33" s="140"/>
    </row>
    <row r="34" spans="1:19" ht="24" customHeight="1">
      <c r="A34" s="360"/>
      <c r="B34" s="97" t="s">
        <v>491</v>
      </c>
      <c r="C34" s="343"/>
      <c r="D34" s="343"/>
      <c r="E34" s="360"/>
      <c r="F34" s="348" t="s">
        <v>391</v>
      </c>
      <c r="G34" s="350">
        <v>2195000</v>
      </c>
      <c r="H34" s="325"/>
      <c r="I34" s="328"/>
      <c r="J34" s="106" t="s">
        <v>65</v>
      </c>
      <c r="K34" s="97" t="s">
        <v>492</v>
      </c>
      <c r="L34" s="331"/>
      <c r="M34" s="334"/>
      <c r="N34" s="346"/>
      <c r="O34" s="337"/>
      <c r="P34" s="320"/>
      <c r="S34" s="140"/>
    </row>
    <row r="35" spans="1:19" ht="24" customHeight="1">
      <c r="A35" s="361"/>
      <c r="B35" s="102"/>
      <c r="C35" s="344"/>
      <c r="D35" s="344"/>
      <c r="E35" s="361"/>
      <c r="F35" s="349"/>
      <c r="G35" s="351"/>
      <c r="H35" s="326"/>
      <c r="I35" s="329"/>
      <c r="J35" s="145"/>
      <c r="K35" s="146"/>
      <c r="L35" s="332"/>
      <c r="M35" s="335"/>
      <c r="N35" s="347"/>
      <c r="O35" s="338"/>
      <c r="P35" s="321"/>
      <c r="S35" s="140"/>
    </row>
    <row r="36" spans="1:19" ht="24" customHeight="1">
      <c r="A36" s="339">
        <v>8</v>
      </c>
      <c r="B36" s="94" t="s">
        <v>516</v>
      </c>
      <c r="C36" s="352">
        <v>132000</v>
      </c>
      <c r="D36" s="342">
        <v>118770</v>
      </c>
      <c r="E36" s="339" t="s">
        <v>56</v>
      </c>
      <c r="F36" s="366" t="s">
        <v>517</v>
      </c>
      <c r="G36" s="327">
        <v>118770</v>
      </c>
      <c r="H36" s="369" t="s">
        <v>517</v>
      </c>
      <c r="I36" s="327">
        <v>118770</v>
      </c>
      <c r="J36" s="230"/>
      <c r="K36" s="230"/>
      <c r="L36" s="330" t="s">
        <v>58</v>
      </c>
      <c r="M36" s="333"/>
      <c r="N36" s="333" t="s">
        <v>59</v>
      </c>
      <c r="O36" s="336">
        <v>244289</v>
      </c>
      <c r="P36" s="319" t="s">
        <v>502</v>
      </c>
      <c r="S36" s="140"/>
    </row>
    <row r="37" spans="1:19" ht="24" customHeight="1">
      <c r="A37" s="340"/>
      <c r="B37" s="97" t="s">
        <v>518</v>
      </c>
      <c r="C37" s="353"/>
      <c r="D37" s="343"/>
      <c r="E37" s="340"/>
      <c r="F37" s="367"/>
      <c r="G37" s="328"/>
      <c r="H37" s="370"/>
      <c r="I37" s="328"/>
      <c r="J37" s="228" t="s">
        <v>61</v>
      </c>
      <c r="K37" s="100" t="s">
        <v>519</v>
      </c>
      <c r="L37" s="331"/>
      <c r="M37" s="334"/>
      <c r="N37" s="334"/>
      <c r="O37" s="337"/>
      <c r="P37" s="320"/>
      <c r="S37" s="140"/>
    </row>
    <row r="38" spans="1:19" ht="24" customHeight="1">
      <c r="A38" s="340"/>
      <c r="B38" s="97" t="s">
        <v>520</v>
      </c>
      <c r="C38" s="353"/>
      <c r="D38" s="343"/>
      <c r="E38" s="340"/>
      <c r="F38" s="224" t="s">
        <v>521</v>
      </c>
      <c r="G38" s="226">
        <v>132680</v>
      </c>
      <c r="H38" s="370"/>
      <c r="I38" s="328"/>
      <c r="J38" s="228" t="s">
        <v>65</v>
      </c>
      <c r="K38" s="97" t="s">
        <v>522</v>
      </c>
      <c r="L38" s="331"/>
      <c r="M38" s="334"/>
      <c r="N38" s="334"/>
      <c r="O38" s="337"/>
      <c r="P38" s="320"/>
      <c r="S38" s="140"/>
    </row>
    <row r="39" spans="1:19" ht="24" customHeight="1">
      <c r="A39" s="341"/>
      <c r="B39" s="102"/>
      <c r="C39" s="354"/>
      <c r="D39" s="344"/>
      <c r="E39" s="341"/>
      <c r="F39" s="225" t="s">
        <v>398</v>
      </c>
      <c r="G39" s="227">
        <v>141240</v>
      </c>
      <c r="H39" s="371"/>
      <c r="I39" s="329"/>
      <c r="J39" s="229"/>
      <c r="K39" s="229"/>
      <c r="L39" s="332"/>
      <c r="M39" s="335"/>
      <c r="N39" s="335"/>
      <c r="O39" s="338"/>
      <c r="P39" s="321"/>
      <c r="S39" s="140"/>
    </row>
    <row r="40" spans="1:19" ht="24" customHeight="1">
      <c r="A40" s="339">
        <v>9</v>
      </c>
      <c r="B40" s="94" t="s">
        <v>523</v>
      </c>
      <c r="C40" s="352">
        <v>3255</v>
      </c>
      <c r="D40" s="342">
        <v>3482.85</v>
      </c>
      <c r="E40" s="339" t="s">
        <v>56</v>
      </c>
      <c r="F40" s="324" t="s">
        <v>524</v>
      </c>
      <c r="G40" s="327">
        <v>3482.85</v>
      </c>
      <c r="H40" s="324" t="s">
        <v>524</v>
      </c>
      <c r="I40" s="327">
        <v>3482.85</v>
      </c>
      <c r="J40" s="230"/>
      <c r="K40" s="230"/>
      <c r="L40" s="330" t="s">
        <v>551</v>
      </c>
      <c r="M40" s="333" t="s">
        <v>59</v>
      </c>
      <c r="N40" s="345"/>
      <c r="O40" s="336">
        <v>244289</v>
      </c>
      <c r="P40" s="319" t="s">
        <v>502</v>
      </c>
      <c r="S40" s="140"/>
    </row>
    <row r="41" spans="1:19" ht="24" customHeight="1">
      <c r="A41" s="340"/>
      <c r="B41" s="97" t="s">
        <v>525</v>
      </c>
      <c r="C41" s="353"/>
      <c r="D41" s="343"/>
      <c r="E41" s="340"/>
      <c r="F41" s="325"/>
      <c r="G41" s="328"/>
      <c r="H41" s="325"/>
      <c r="I41" s="328"/>
      <c r="J41" s="228" t="s">
        <v>61</v>
      </c>
      <c r="K41" s="100" t="s">
        <v>526</v>
      </c>
      <c r="L41" s="331"/>
      <c r="M41" s="334"/>
      <c r="N41" s="346"/>
      <c r="O41" s="337"/>
      <c r="P41" s="320"/>
      <c r="S41" s="140"/>
    </row>
    <row r="42" spans="1:19" ht="24" customHeight="1">
      <c r="A42" s="340"/>
      <c r="B42" s="97"/>
      <c r="C42" s="353"/>
      <c r="D42" s="343"/>
      <c r="E42" s="340"/>
      <c r="F42" s="228" t="s">
        <v>527</v>
      </c>
      <c r="G42" s="226">
        <v>4975.5</v>
      </c>
      <c r="H42" s="325"/>
      <c r="I42" s="328"/>
      <c r="J42" s="228" t="s">
        <v>65</v>
      </c>
      <c r="K42" s="97" t="s">
        <v>522</v>
      </c>
      <c r="L42" s="331"/>
      <c r="M42" s="334"/>
      <c r="N42" s="346"/>
      <c r="O42" s="337"/>
      <c r="P42" s="320"/>
      <c r="S42" s="140"/>
    </row>
    <row r="43" spans="1:19" ht="24" customHeight="1">
      <c r="A43" s="341"/>
      <c r="B43" s="102"/>
      <c r="C43" s="354"/>
      <c r="D43" s="344"/>
      <c r="E43" s="341"/>
      <c r="F43" s="229" t="s">
        <v>528</v>
      </c>
      <c r="G43" s="227">
        <v>5457</v>
      </c>
      <c r="H43" s="326"/>
      <c r="I43" s="329"/>
      <c r="J43" s="229"/>
      <c r="K43" s="229"/>
      <c r="L43" s="332"/>
      <c r="M43" s="335"/>
      <c r="N43" s="347"/>
      <c r="O43" s="338"/>
      <c r="P43" s="321"/>
      <c r="S43" s="140"/>
    </row>
    <row r="44" spans="1:19" ht="24" customHeight="1">
      <c r="A44" s="339">
        <v>10</v>
      </c>
      <c r="B44" s="97" t="s">
        <v>67</v>
      </c>
      <c r="C44" s="343">
        <v>450000</v>
      </c>
      <c r="D44" s="343">
        <v>436428</v>
      </c>
      <c r="E44" s="360" t="s">
        <v>56</v>
      </c>
      <c r="F44" s="324" t="s">
        <v>103</v>
      </c>
      <c r="G44" s="327">
        <v>427554</v>
      </c>
      <c r="H44" s="324" t="s">
        <v>103</v>
      </c>
      <c r="I44" s="327">
        <v>427554</v>
      </c>
      <c r="J44" s="228"/>
      <c r="K44" s="228"/>
      <c r="L44" s="330" t="s">
        <v>159</v>
      </c>
      <c r="M44" s="333" t="s">
        <v>59</v>
      </c>
      <c r="N44" s="333"/>
      <c r="O44" s="336">
        <v>244289</v>
      </c>
      <c r="P44" s="319" t="s">
        <v>502</v>
      </c>
      <c r="S44" s="140"/>
    </row>
    <row r="45" spans="1:19" ht="24" customHeight="1">
      <c r="A45" s="340"/>
      <c r="B45" s="97" t="s">
        <v>160</v>
      </c>
      <c r="C45" s="343"/>
      <c r="D45" s="343"/>
      <c r="E45" s="360"/>
      <c r="F45" s="325"/>
      <c r="G45" s="328"/>
      <c r="H45" s="325"/>
      <c r="I45" s="328"/>
      <c r="J45" s="228" t="s">
        <v>71</v>
      </c>
      <c r="K45" s="100" t="s">
        <v>529</v>
      </c>
      <c r="L45" s="331"/>
      <c r="M45" s="334"/>
      <c r="N45" s="334"/>
      <c r="O45" s="337"/>
      <c r="P45" s="320"/>
      <c r="S45" s="140"/>
    </row>
    <row r="46" spans="1:19" ht="24" customHeight="1">
      <c r="A46" s="340"/>
      <c r="B46" s="97" t="s">
        <v>530</v>
      </c>
      <c r="C46" s="343"/>
      <c r="D46" s="343"/>
      <c r="E46" s="360"/>
      <c r="F46" s="325"/>
      <c r="G46" s="328"/>
      <c r="H46" s="325"/>
      <c r="I46" s="328"/>
      <c r="J46" s="228" t="s">
        <v>65</v>
      </c>
      <c r="K46" s="97" t="s">
        <v>531</v>
      </c>
      <c r="L46" s="331"/>
      <c r="M46" s="334"/>
      <c r="N46" s="334"/>
      <c r="O46" s="337"/>
      <c r="P46" s="320"/>
      <c r="S46" s="140"/>
    </row>
    <row r="47" spans="1:19" ht="24" customHeight="1">
      <c r="A47" s="341"/>
      <c r="B47" s="97"/>
      <c r="C47" s="344"/>
      <c r="D47" s="344"/>
      <c r="E47" s="361"/>
      <c r="F47" s="326"/>
      <c r="G47" s="329"/>
      <c r="H47" s="326"/>
      <c r="I47" s="329"/>
      <c r="J47" s="228"/>
      <c r="K47" s="228"/>
      <c r="L47" s="332"/>
      <c r="M47" s="335"/>
      <c r="N47" s="335"/>
      <c r="O47" s="338"/>
      <c r="P47" s="321"/>
      <c r="S47" s="140"/>
    </row>
    <row r="48" spans="1:19" ht="24" customHeight="1">
      <c r="A48" s="339">
        <v>11</v>
      </c>
      <c r="B48" s="94" t="s">
        <v>67</v>
      </c>
      <c r="C48" s="352">
        <v>450000</v>
      </c>
      <c r="D48" s="342">
        <v>398756</v>
      </c>
      <c r="E48" s="339" t="s">
        <v>56</v>
      </c>
      <c r="F48" s="324" t="s">
        <v>158</v>
      </c>
      <c r="G48" s="327">
        <v>390808</v>
      </c>
      <c r="H48" s="324" t="s">
        <v>158</v>
      </c>
      <c r="I48" s="327">
        <v>390808</v>
      </c>
      <c r="J48" s="230"/>
      <c r="K48" s="230"/>
      <c r="L48" s="330" t="s">
        <v>159</v>
      </c>
      <c r="M48" s="333" t="s">
        <v>59</v>
      </c>
      <c r="N48" s="345"/>
      <c r="O48" s="336">
        <v>244289</v>
      </c>
      <c r="P48" s="319" t="s">
        <v>502</v>
      </c>
      <c r="S48" s="140"/>
    </row>
    <row r="49" spans="1:19" ht="24" customHeight="1">
      <c r="A49" s="340"/>
      <c r="B49" s="97" t="s">
        <v>160</v>
      </c>
      <c r="C49" s="353"/>
      <c r="D49" s="343"/>
      <c r="E49" s="340"/>
      <c r="F49" s="325"/>
      <c r="G49" s="328"/>
      <c r="H49" s="325"/>
      <c r="I49" s="328"/>
      <c r="J49" s="228" t="s">
        <v>71</v>
      </c>
      <c r="K49" s="100" t="s">
        <v>532</v>
      </c>
      <c r="L49" s="331"/>
      <c r="M49" s="334"/>
      <c r="N49" s="346"/>
      <c r="O49" s="337"/>
      <c r="P49" s="320"/>
      <c r="S49" s="140"/>
    </row>
    <row r="50" spans="1:19" ht="24" customHeight="1">
      <c r="A50" s="340"/>
      <c r="B50" s="97" t="s">
        <v>533</v>
      </c>
      <c r="C50" s="353"/>
      <c r="D50" s="343"/>
      <c r="E50" s="340"/>
      <c r="F50" s="325"/>
      <c r="G50" s="328"/>
      <c r="H50" s="325"/>
      <c r="I50" s="328"/>
      <c r="J50" s="228" t="s">
        <v>65</v>
      </c>
      <c r="K50" s="97" t="s">
        <v>534</v>
      </c>
      <c r="L50" s="331"/>
      <c r="M50" s="334"/>
      <c r="N50" s="346"/>
      <c r="O50" s="337"/>
      <c r="P50" s="320"/>
      <c r="S50" s="140"/>
    </row>
    <row r="51" spans="1:19" ht="24" customHeight="1">
      <c r="A51" s="341"/>
      <c r="B51" s="102"/>
      <c r="C51" s="354"/>
      <c r="D51" s="344"/>
      <c r="E51" s="341"/>
      <c r="F51" s="326"/>
      <c r="G51" s="329"/>
      <c r="H51" s="326"/>
      <c r="I51" s="329"/>
      <c r="J51" s="229"/>
      <c r="K51" s="229"/>
      <c r="L51" s="332"/>
      <c r="M51" s="335"/>
      <c r="N51" s="347"/>
      <c r="O51" s="338"/>
      <c r="P51" s="321"/>
      <c r="S51" s="140"/>
    </row>
    <row r="52" spans="1:19" ht="24" customHeight="1">
      <c r="A52" s="364">
        <v>12</v>
      </c>
      <c r="B52" s="94" t="s">
        <v>221</v>
      </c>
      <c r="C52" s="342">
        <v>1005470</v>
      </c>
      <c r="D52" s="394">
        <v>1075852.8999999999</v>
      </c>
      <c r="E52" s="339" t="s">
        <v>186</v>
      </c>
      <c r="F52" s="324" t="s">
        <v>222</v>
      </c>
      <c r="G52" s="327">
        <v>1014529</v>
      </c>
      <c r="H52" s="324" t="s">
        <v>222</v>
      </c>
      <c r="I52" s="327">
        <v>1013147.69</v>
      </c>
      <c r="J52" s="230"/>
      <c r="K52" s="230"/>
      <c r="L52" s="330" t="s">
        <v>223</v>
      </c>
      <c r="M52" s="333" t="s">
        <v>59</v>
      </c>
      <c r="N52" s="333"/>
      <c r="O52" s="336">
        <v>244289</v>
      </c>
      <c r="P52" s="319" t="s">
        <v>502</v>
      </c>
      <c r="S52" s="140"/>
    </row>
    <row r="53" spans="1:19" ht="24" customHeight="1">
      <c r="A53" s="360"/>
      <c r="B53" s="97" t="s">
        <v>535</v>
      </c>
      <c r="C53" s="343"/>
      <c r="D53" s="395"/>
      <c r="E53" s="340"/>
      <c r="F53" s="325"/>
      <c r="G53" s="328"/>
      <c r="H53" s="325"/>
      <c r="I53" s="328"/>
      <c r="J53" s="228" t="s">
        <v>71</v>
      </c>
      <c r="K53" s="100" t="s">
        <v>536</v>
      </c>
      <c r="L53" s="331"/>
      <c r="M53" s="334"/>
      <c r="N53" s="334"/>
      <c r="O53" s="337"/>
      <c r="P53" s="320"/>
      <c r="S53" s="140"/>
    </row>
    <row r="54" spans="1:19" ht="24" customHeight="1">
      <c r="A54" s="360"/>
      <c r="B54" s="97" t="s">
        <v>537</v>
      </c>
      <c r="C54" s="343"/>
      <c r="D54" s="395"/>
      <c r="E54" s="340"/>
      <c r="F54" s="325"/>
      <c r="G54" s="328"/>
      <c r="H54" s="325"/>
      <c r="I54" s="328"/>
      <c r="J54" s="228" t="s">
        <v>65</v>
      </c>
      <c r="K54" s="97" t="s">
        <v>538</v>
      </c>
      <c r="L54" s="331"/>
      <c r="M54" s="334"/>
      <c r="N54" s="334"/>
      <c r="O54" s="337"/>
      <c r="P54" s="320"/>
      <c r="S54" s="140"/>
    </row>
    <row r="55" spans="1:19" ht="24" customHeight="1">
      <c r="A55" s="360"/>
      <c r="B55" s="97"/>
      <c r="C55" s="343"/>
      <c r="D55" s="395"/>
      <c r="E55" s="340"/>
      <c r="F55" s="326"/>
      <c r="G55" s="329"/>
      <c r="H55" s="326"/>
      <c r="I55" s="328"/>
      <c r="J55" s="228"/>
      <c r="K55" s="97"/>
      <c r="L55" s="332"/>
      <c r="M55" s="335"/>
      <c r="N55" s="335"/>
      <c r="O55" s="338"/>
      <c r="P55" s="321"/>
      <c r="S55" s="140"/>
    </row>
    <row r="56" spans="1:19" ht="24" customHeight="1">
      <c r="A56" s="364">
        <v>13</v>
      </c>
      <c r="B56" s="94" t="s">
        <v>539</v>
      </c>
      <c r="C56" s="342">
        <v>2056000</v>
      </c>
      <c r="D56" s="342">
        <v>2197376.61</v>
      </c>
      <c r="E56" s="364" t="s">
        <v>186</v>
      </c>
      <c r="F56" s="324" t="s">
        <v>231</v>
      </c>
      <c r="G56" s="327">
        <v>2197000</v>
      </c>
      <c r="H56" s="324" t="s">
        <v>231</v>
      </c>
      <c r="I56" s="327">
        <v>2194142</v>
      </c>
      <c r="J56" s="141"/>
      <c r="K56" s="142"/>
      <c r="L56" s="330" t="s">
        <v>232</v>
      </c>
      <c r="M56" s="333" t="s">
        <v>59</v>
      </c>
      <c r="N56" s="345"/>
      <c r="O56" s="336">
        <v>244289</v>
      </c>
      <c r="P56" s="319" t="s">
        <v>502</v>
      </c>
      <c r="S56" s="140"/>
    </row>
    <row r="57" spans="1:19" ht="24" customHeight="1">
      <c r="A57" s="360"/>
      <c r="B57" s="97" t="s">
        <v>225</v>
      </c>
      <c r="C57" s="343"/>
      <c r="D57" s="343"/>
      <c r="E57" s="360"/>
      <c r="F57" s="325"/>
      <c r="G57" s="328"/>
      <c r="H57" s="325"/>
      <c r="I57" s="328"/>
      <c r="J57" s="228" t="s">
        <v>71</v>
      </c>
      <c r="K57" s="100" t="s">
        <v>540</v>
      </c>
      <c r="L57" s="331"/>
      <c r="M57" s="334"/>
      <c r="N57" s="346"/>
      <c r="O57" s="337"/>
      <c r="P57" s="320"/>
      <c r="S57" s="140"/>
    </row>
    <row r="58" spans="1:19" ht="24" customHeight="1">
      <c r="A58" s="360"/>
      <c r="B58" s="97" t="s">
        <v>541</v>
      </c>
      <c r="C58" s="343"/>
      <c r="D58" s="343"/>
      <c r="E58" s="360"/>
      <c r="F58" s="325"/>
      <c r="G58" s="328"/>
      <c r="H58" s="325"/>
      <c r="I58" s="328"/>
      <c r="J58" s="228" t="s">
        <v>65</v>
      </c>
      <c r="K58" s="97" t="s">
        <v>542</v>
      </c>
      <c r="L58" s="331"/>
      <c r="M58" s="334"/>
      <c r="N58" s="346"/>
      <c r="O58" s="337"/>
      <c r="P58" s="320"/>
      <c r="S58" s="140"/>
    </row>
    <row r="59" spans="1:19" ht="24" customHeight="1">
      <c r="A59" s="361"/>
      <c r="B59" s="102"/>
      <c r="C59" s="344"/>
      <c r="D59" s="344"/>
      <c r="E59" s="361"/>
      <c r="F59" s="326"/>
      <c r="G59" s="329"/>
      <c r="H59" s="326"/>
      <c r="I59" s="329"/>
      <c r="J59" s="145"/>
      <c r="K59" s="146"/>
      <c r="L59" s="332"/>
      <c r="M59" s="335"/>
      <c r="N59" s="347"/>
      <c r="O59" s="338"/>
      <c r="P59" s="321"/>
      <c r="S59" s="140"/>
    </row>
    <row r="60" spans="1:19" ht="24" customHeight="1">
      <c r="A60" s="339">
        <v>14</v>
      </c>
      <c r="B60" s="94" t="s">
        <v>564</v>
      </c>
      <c r="C60" s="352">
        <v>10149.52</v>
      </c>
      <c r="D60" s="342">
        <v>10859.99</v>
      </c>
      <c r="E60" s="339" t="s">
        <v>56</v>
      </c>
      <c r="F60" s="261" t="s">
        <v>261</v>
      </c>
      <c r="G60" s="253">
        <v>10859.99</v>
      </c>
      <c r="H60" s="369" t="s">
        <v>261</v>
      </c>
      <c r="I60" s="327">
        <v>10859.99</v>
      </c>
      <c r="J60" s="260"/>
      <c r="K60" s="260"/>
      <c r="L60" s="330" t="s">
        <v>375</v>
      </c>
      <c r="M60" s="333" t="s">
        <v>59</v>
      </c>
      <c r="N60" s="333"/>
      <c r="O60" s="336">
        <v>244319</v>
      </c>
      <c r="P60" s="319" t="s">
        <v>502</v>
      </c>
      <c r="S60" s="140"/>
    </row>
    <row r="61" spans="1:19" ht="24" customHeight="1">
      <c r="A61" s="340"/>
      <c r="B61" s="97" t="s">
        <v>565</v>
      </c>
      <c r="C61" s="353"/>
      <c r="D61" s="343"/>
      <c r="E61" s="340"/>
      <c r="F61" s="360" t="s">
        <v>267</v>
      </c>
      <c r="G61" s="350">
        <v>12091</v>
      </c>
      <c r="H61" s="370"/>
      <c r="I61" s="328"/>
      <c r="J61" s="258" t="s">
        <v>61</v>
      </c>
      <c r="K61" s="100" t="s">
        <v>566</v>
      </c>
      <c r="L61" s="331"/>
      <c r="M61" s="334"/>
      <c r="N61" s="334"/>
      <c r="O61" s="337"/>
      <c r="P61" s="320"/>
      <c r="S61" s="140"/>
    </row>
    <row r="62" spans="1:19" ht="24" customHeight="1">
      <c r="A62" s="340"/>
      <c r="B62" s="97" t="s">
        <v>567</v>
      </c>
      <c r="C62" s="353"/>
      <c r="D62" s="343"/>
      <c r="E62" s="340"/>
      <c r="F62" s="360"/>
      <c r="G62" s="350"/>
      <c r="H62" s="370"/>
      <c r="I62" s="328"/>
      <c r="J62" s="258" t="s">
        <v>65</v>
      </c>
      <c r="K62" s="97" t="s">
        <v>568</v>
      </c>
      <c r="L62" s="331"/>
      <c r="M62" s="334"/>
      <c r="N62" s="334"/>
      <c r="O62" s="337"/>
      <c r="P62" s="320"/>
      <c r="S62" s="140"/>
    </row>
    <row r="63" spans="1:19" ht="24" customHeight="1">
      <c r="A63" s="341"/>
      <c r="B63" s="102" t="s">
        <v>569</v>
      </c>
      <c r="C63" s="354"/>
      <c r="D63" s="344"/>
      <c r="E63" s="341"/>
      <c r="F63" s="255" t="s">
        <v>570</v>
      </c>
      <c r="G63" s="257">
        <v>12155.2</v>
      </c>
      <c r="H63" s="371"/>
      <c r="I63" s="329"/>
      <c r="J63" s="259"/>
      <c r="K63" s="259"/>
      <c r="L63" s="332"/>
      <c r="M63" s="335"/>
      <c r="N63" s="335"/>
      <c r="O63" s="338"/>
      <c r="P63" s="321"/>
      <c r="S63" s="140"/>
    </row>
    <row r="64" spans="1:19" ht="24" customHeight="1">
      <c r="A64" s="364">
        <v>15</v>
      </c>
      <c r="B64" s="94" t="s">
        <v>272</v>
      </c>
      <c r="C64" s="342">
        <v>1120000</v>
      </c>
      <c r="D64" s="394">
        <v>1189184</v>
      </c>
      <c r="E64" s="339" t="s">
        <v>186</v>
      </c>
      <c r="F64" s="324" t="s">
        <v>233</v>
      </c>
      <c r="G64" s="327">
        <v>927000</v>
      </c>
      <c r="H64" s="324" t="s">
        <v>233</v>
      </c>
      <c r="I64" s="327">
        <v>927000</v>
      </c>
      <c r="J64" s="260"/>
      <c r="K64" s="260"/>
      <c r="L64" s="330" t="s">
        <v>104</v>
      </c>
      <c r="M64" s="333" t="s">
        <v>59</v>
      </c>
      <c r="N64" s="333"/>
      <c r="O64" s="336">
        <v>244319</v>
      </c>
      <c r="P64" s="319" t="s">
        <v>502</v>
      </c>
      <c r="S64" s="140"/>
    </row>
    <row r="65" spans="1:19" ht="24" customHeight="1">
      <c r="A65" s="360"/>
      <c r="B65" s="97" t="s">
        <v>556</v>
      </c>
      <c r="C65" s="343"/>
      <c r="D65" s="395"/>
      <c r="E65" s="340"/>
      <c r="F65" s="325"/>
      <c r="G65" s="328"/>
      <c r="H65" s="325"/>
      <c r="I65" s="328"/>
      <c r="J65" s="258" t="s">
        <v>71</v>
      </c>
      <c r="K65" s="100" t="s">
        <v>557</v>
      </c>
      <c r="L65" s="331"/>
      <c r="M65" s="334"/>
      <c r="N65" s="334"/>
      <c r="O65" s="337"/>
      <c r="P65" s="320"/>
      <c r="S65" s="140"/>
    </row>
    <row r="66" spans="1:19" ht="24" customHeight="1">
      <c r="A66" s="360"/>
      <c r="B66" s="97" t="s">
        <v>558</v>
      </c>
      <c r="C66" s="343"/>
      <c r="D66" s="395"/>
      <c r="E66" s="340"/>
      <c r="F66" s="325"/>
      <c r="G66" s="328"/>
      <c r="H66" s="325"/>
      <c r="I66" s="328"/>
      <c r="J66" s="258" t="s">
        <v>65</v>
      </c>
      <c r="K66" s="97" t="s">
        <v>559</v>
      </c>
      <c r="L66" s="331"/>
      <c r="M66" s="334"/>
      <c r="N66" s="334"/>
      <c r="O66" s="337"/>
      <c r="P66" s="320"/>
      <c r="S66" s="140"/>
    </row>
    <row r="67" spans="1:19" ht="24" customHeight="1">
      <c r="A67" s="360"/>
      <c r="B67" s="97"/>
      <c r="C67" s="343"/>
      <c r="D67" s="395"/>
      <c r="E67" s="340"/>
      <c r="F67" s="326"/>
      <c r="G67" s="329"/>
      <c r="H67" s="326"/>
      <c r="I67" s="329"/>
      <c r="J67" s="258"/>
      <c r="K67" s="97"/>
      <c r="L67" s="332"/>
      <c r="M67" s="335"/>
      <c r="N67" s="335"/>
      <c r="O67" s="338"/>
      <c r="P67" s="321"/>
      <c r="S67" s="140"/>
    </row>
    <row r="68" spans="1:19" ht="24" customHeight="1">
      <c r="A68" s="364">
        <v>16</v>
      </c>
      <c r="B68" s="94" t="s">
        <v>67</v>
      </c>
      <c r="C68" s="342">
        <v>4300000</v>
      </c>
      <c r="D68" s="342">
        <v>4539079</v>
      </c>
      <c r="E68" s="364" t="s">
        <v>186</v>
      </c>
      <c r="F68" s="252" t="s">
        <v>327</v>
      </c>
      <c r="G68" s="253">
        <v>2300000</v>
      </c>
      <c r="H68" s="324" t="s">
        <v>327</v>
      </c>
      <c r="I68" s="327">
        <v>2299080</v>
      </c>
      <c r="J68" s="141"/>
      <c r="K68" s="142"/>
      <c r="L68" s="330" t="s">
        <v>159</v>
      </c>
      <c r="M68" s="333" t="s">
        <v>59</v>
      </c>
      <c r="N68" s="345"/>
      <c r="O68" s="378">
        <v>244319</v>
      </c>
      <c r="P68" s="381" t="s">
        <v>502</v>
      </c>
      <c r="S68" s="140"/>
    </row>
    <row r="69" spans="1:19" ht="24" customHeight="1">
      <c r="A69" s="360"/>
      <c r="B69" s="97" t="s">
        <v>160</v>
      </c>
      <c r="C69" s="343"/>
      <c r="D69" s="343"/>
      <c r="E69" s="360"/>
      <c r="F69" s="254" t="s">
        <v>200</v>
      </c>
      <c r="G69" s="256">
        <v>2830000</v>
      </c>
      <c r="H69" s="325"/>
      <c r="I69" s="328"/>
      <c r="J69" s="258"/>
      <c r="K69" s="100"/>
      <c r="L69" s="331"/>
      <c r="M69" s="334"/>
      <c r="N69" s="346"/>
      <c r="O69" s="379"/>
      <c r="P69" s="438"/>
      <c r="S69" s="140"/>
    </row>
    <row r="70" spans="1:19" ht="24" customHeight="1">
      <c r="A70" s="360"/>
      <c r="B70" s="97" t="s">
        <v>560</v>
      </c>
      <c r="C70" s="343"/>
      <c r="D70" s="343"/>
      <c r="E70" s="360"/>
      <c r="F70" s="254" t="s">
        <v>278</v>
      </c>
      <c r="G70" s="256">
        <v>3172000</v>
      </c>
      <c r="H70" s="325"/>
      <c r="I70" s="328"/>
      <c r="J70" s="258"/>
      <c r="K70" s="97"/>
      <c r="L70" s="331"/>
      <c r="M70" s="334"/>
      <c r="N70" s="346"/>
      <c r="O70" s="379"/>
      <c r="P70" s="438"/>
      <c r="S70" s="140"/>
    </row>
    <row r="71" spans="1:19" ht="24" customHeight="1">
      <c r="A71" s="360"/>
      <c r="B71" s="97"/>
      <c r="C71" s="343"/>
      <c r="D71" s="343"/>
      <c r="E71" s="360"/>
      <c r="F71" s="254" t="s">
        <v>233</v>
      </c>
      <c r="G71" s="256">
        <v>3388000</v>
      </c>
      <c r="H71" s="325"/>
      <c r="I71" s="328"/>
      <c r="J71" s="175"/>
      <c r="K71" s="97"/>
      <c r="L71" s="331"/>
      <c r="M71" s="334"/>
      <c r="N71" s="346"/>
      <c r="O71" s="379"/>
      <c r="P71" s="438"/>
      <c r="S71" s="140"/>
    </row>
    <row r="72" spans="1:19" ht="24" customHeight="1">
      <c r="A72" s="360"/>
      <c r="B72" s="97"/>
      <c r="C72" s="343"/>
      <c r="D72" s="343"/>
      <c r="E72" s="360"/>
      <c r="F72" s="254" t="s">
        <v>285</v>
      </c>
      <c r="G72" s="256">
        <v>3400000</v>
      </c>
      <c r="H72" s="325"/>
      <c r="I72" s="328"/>
      <c r="J72" s="258" t="s">
        <v>61</v>
      </c>
      <c r="K72" s="100" t="s">
        <v>561</v>
      </c>
      <c r="L72" s="331"/>
      <c r="M72" s="334"/>
      <c r="N72" s="346"/>
      <c r="O72" s="379"/>
      <c r="P72" s="438"/>
      <c r="S72" s="140"/>
    </row>
    <row r="73" spans="1:19" ht="24" customHeight="1">
      <c r="A73" s="360"/>
      <c r="B73" s="97"/>
      <c r="C73" s="343"/>
      <c r="D73" s="343"/>
      <c r="E73" s="360"/>
      <c r="F73" s="348" t="s">
        <v>158</v>
      </c>
      <c r="G73" s="350">
        <v>3800000</v>
      </c>
      <c r="H73" s="325"/>
      <c r="I73" s="328"/>
      <c r="J73" s="258" t="s">
        <v>65</v>
      </c>
      <c r="K73" s="97" t="s">
        <v>562</v>
      </c>
      <c r="L73" s="331"/>
      <c r="M73" s="334"/>
      <c r="N73" s="346"/>
      <c r="O73" s="379"/>
      <c r="P73" s="438"/>
      <c r="S73" s="140"/>
    </row>
    <row r="74" spans="1:19" ht="24" customHeight="1">
      <c r="A74" s="360"/>
      <c r="B74" s="97"/>
      <c r="C74" s="343"/>
      <c r="D74" s="343"/>
      <c r="E74" s="360"/>
      <c r="F74" s="348"/>
      <c r="G74" s="350"/>
      <c r="H74" s="325"/>
      <c r="I74" s="328"/>
      <c r="J74" s="175"/>
      <c r="K74" s="97"/>
      <c r="L74" s="331"/>
      <c r="M74" s="334"/>
      <c r="N74" s="346"/>
      <c r="O74" s="379"/>
      <c r="P74" s="438"/>
      <c r="S74" s="140"/>
    </row>
    <row r="75" spans="1:19" ht="24" customHeight="1">
      <c r="A75" s="360"/>
      <c r="B75" s="97"/>
      <c r="C75" s="343"/>
      <c r="D75" s="343"/>
      <c r="E75" s="360"/>
      <c r="F75" s="348" t="s">
        <v>563</v>
      </c>
      <c r="G75" s="350">
        <v>4055222</v>
      </c>
      <c r="H75" s="325"/>
      <c r="I75" s="328"/>
      <c r="J75" s="175"/>
      <c r="K75" s="97"/>
      <c r="L75" s="331"/>
      <c r="M75" s="334"/>
      <c r="N75" s="346"/>
      <c r="O75" s="379"/>
      <c r="P75" s="438"/>
      <c r="S75" s="140"/>
    </row>
    <row r="76" spans="1:19" ht="24" customHeight="1">
      <c r="A76" s="361"/>
      <c r="B76" s="102"/>
      <c r="C76" s="344"/>
      <c r="D76" s="344"/>
      <c r="E76" s="361"/>
      <c r="F76" s="349"/>
      <c r="G76" s="351"/>
      <c r="H76" s="326"/>
      <c r="I76" s="329"/>
      <c r="J76" s="145"/>
      <c r="K76" s="146"/>
      <c r="L76" s="332"/>
      <c r="M76" s="335"/>
      <c r="N76" s="347"/>
      <c r="O76" s="380"/>
      <c r="P76" s="383"/>
      <c r="S76" s="140"/>
    </row>
    <row r="77" spans="1:19" ht="24" customHeight="1">
      <c r="A77" s="364">
        <v>17</v>
      </c>
      <c r="B77" s="94" t="s">
        <v>67</v>
      </c>
      <c r="C77" s="342">
        <v>460000</v>
      </c>
      <c r="D77" s="342">
        <v>484546</v>
      </c>
      <c r="E77" s="364" t="s">
        <v>56</v>
      </c>
      <c r="F77" s="366" t="s">
        <v>200</v>
      </c>
      <c r="G77" s="327">
        <v>475111</v>
      </c>
      <c r="H77" s="324" t="s">
        <v>200</v>
      </c>
      <c r="I77" s="391">
        <v>475111</v>
      </c>
      <c r="J77" s="291"/>
      <c r="K77" s="291"/>
      <c r="L77" s="330" t="s">
        <v>159</v>
      </c>
      <c r="M77" s="333" t="s">
        <v>59</v>
      </c>
      <c r="N77" s="345"/>
      <c r="O77" s="336">
        <v>244350</v>
      </c>
      <c r="P77" s="319" t="s">
        <v>502</v>
      </c>
      <c r="S77" s="140"/>
    </row>
    <row r="78" spans="1:19" ht="24" customHeight="1">
      <c r="A78" s="360"/>
      <c r="B78" s="97" t="s">
        <v>160</v>
      </c>
      <c r="C78" s="343"/>
      <c r="D78" s="343"/>
      <c r="E78" s="360"/>
      <c r="F78" s="367"/>
      <c r="G78" s="328"/>
      <c r="H78" s="325"/>
      <c r="I78" s="392"/>
      <c r="J78" s="288" t="s">
        <v>71</v>
      </c>
      <c r="K78" s="100" t="s">
        <v>576</v>
      </c>
      <c r="L78" s="331"/>
      <c r="M78" s="334"/>
      <c r="N78" s="346"/>
      <c r="O78" s="337"/>
      <c r="P78" s="320"/>
      <c r="S78" s="140"/>
    </row>
    <row r="79" spans="1:19" ht="24" customHeight="1">
      <c r="A79" s="360"/>
      <c r="B79" s="97" t="s">
        <v>577</v>
      </c>
      <c r="C79" s="343"/>
      <c r="D79" s="343"/>
      <c r="E79" s="360"/>
      <c r="F79" s="367"/>
      <c r="G79" s="328"/>
      <c r="H79" s="325"/>
      <c r="I79" s="392"/>
      <c r="J79" s="288" t="s">
        <v>65</v>
      </c>
      <c r="K79" s="97" t="s">
        <v>578</v>
      </c>
      <c r="L79" s="331"/>
      <c r="M79" s="334"/>
      <c r="N79" s="346"/>
      <c r="O79" s="337"/>
      <c r="P79" s="320"/>
      <c r="S79" s="140"/>
    </row>
    <row r="80" spans="1:19" ht="24" customHeight="1">
      <c r="A80" s="361"/>
      <c r="B80" s="292"/>
      <c r="C80" s="344"/>
      <c r="D80" s="344"/>
      <c r="E80" s="361"/>
      <c r="F80" s="368"/>
      <c r="G80" s="329"/>
      <c r="H80" s="326"/>
      <c r="I80" s="393"/>
      <c r="J80" s="292"/>
      <c r="K80" s="292"/>
      <c r="L80" s="332"/>
      <c r="M80" s="335"/>
      <c r="N80" s="347"/>
      <c r="O80" s="338"/>
      <c r="P80" s="321"/>
      <c r="S80" s="140"/>
    </row>
    <row r="81" spans="1:19" ht="24" customHeight="1">
      <c r="A81" s="364">
        <v>18</v>
      </c>
      <c r="B81" s="94" t="s">
        <v>579</v>
      </c>
      <c r="C81" s="353">
        <v>1896</v>
      </c>
      <c r="D81" s="343">
        <v>2028.72</v>
      </c>
      <c r="E81" s="364" t="s">
        <v>56</v>
      </c>
      <c r="F81" s="291" t="s">
        <v>76</v>
      </c>
      <c r="G81" s="284">
        <v>2028.72</v>
      </c>
      <c r="H81" s="388" t="s">
        <v>76</v>
      </c>
      <c r="I81" s="391">
        <v>2028.72</v>
      </c>
      <c r="J81" s="291"/>
      <c r="K81" s="291"/>
      <c r="L81" s="330" t="s">
        <v>617</v>
      </c>
      <c r="M81" s="333" t="s">
        <v>59</v>
      </c>
      <c r="N81" s="333"/>
      <c r="O81" s="336">
        <v>244350</v>
      </c>
      <c r="P81" s="319" t="s">
        <v>502</v>
      </c>
      <c r="S81" s="140"/>
    </row>
    <row r="82" spans="1:19" ht="24" customHeight="1">
      <c r="A82" s="360"/>
      <c r="B82" s="97" t="s">
        <v>580</v>
      </c>
      <c r="C82" s="353"/>
      <c r="D82" s="343"/>
      <c r="E82" s="360"/>
      <c r="F82" s="288" t="s">
        <v>79</v>
      </c>
      <c r="G82" s="286">
        <v>2182.8000000000002</v>
      </c>
      <c r="H82" s="389"/>
      <c r="I82" s="392"/>
      <c r="J82" s="288" t="s">
        <v>61</v>
      </c>
      <c r="K82" s="100" t="s">
        <v>581</v>
      </c>
      <c r="L82" s="331"/>
      <c r="M82" s="334"/>
      <c r="N82" s="334"/>
      <c r="O82" s="337"/>
      <c r="P82" s="320"/>
      <c r="S82" s="140"/>
    </row>
    <row r="83" spans="1:19" ht="24" customHeight="1">
      <c r="A83" s="360"/>
      <c r="B83" s="97" t="s">
        <v>582</v>
      </c>
      <c r="C83" s="353"/>
      <c r="D83" s="343"/>
      <c r="E83" s="360"/>
      <c r="F83" s="360" t="s">
        <v>82</v>
      </c>
      <c r="G83" s="350">
        <v>2311.1999999999998</v>
      </c>
      <c r="H83" s="389"/>
      <c r="I83" s="392"/>
      <c r="J83" s="288" t="s">
        <v>65</v>
      </c>
      <c r="K83" s="97" t="s">
        <v>583</v>
      </c>
      <c r="L83" s="331"/>
      <c r="M83" s="334"/>
      <c r="N83" s="334"/>
      <c r="O83" s="337"/>
      <c r="P83" s="320"/>
      <c r="S83" s="140"/>
    </row>
    <row r="84" spans="1:19" ht="24" customHeight="1">
      <c r="A84" s="361"/>
      <c r="B84" s="102"/>
      <c r="C84" s="354"/>
      <c r="D84" s="344"/>
      <c r="E84" s="361"/>
      <c r="F84" s="361"/>
      <c r="G84" s="351"/>
      <c r="H84" s="390"/>
      <c r="I84" s="393"/>
      <c r="J84" s="292"/>
      <c r="K84" s="292"/>
      <c r="L84" s="332"/>
      <c r="M84" s="335"/>
      <c r="N84" s="335"/>
      <c r="O84" s="338"/>
      <c r="P84" s="321"/>
      <c r="S84" s="140"/>
    </row>
    <row r="85" spans="1:19" ht="24" customHeight="1">
      <c r="A85" s="364">
        <v>19</v>
      </c>
      <c r="B85" s="97" t="s">
        <v>564</v>
      </c>
      <c r="C85" s="353">
        <v>8637</v>
      </c>
      <c r="D85" s="343">
        <v>9241.59</v>
      </c>
      <c r="E85" s="364" t="s">
        <v>56</v>
      </c>
      <c r="F85" s="291" t="s">
        <v>261</v>
      </c>
      <c r="G85" s="284">
        <v>9241.59</v>
      </c>
      <c r="H85" s="388" t="s">
        <v>261</v>
      </c>
      <c r="I85" s="391">
        <v>9241.59</v>
      </c>
      <c r="J85" s="291"/>
      <c r="K85" s="291"/>
      <c r="L85" s="330" t="s">
        <v>375</v>
      </c>
      <c r="M85" s="333" t="s">
        <v>59</v>
      </c>
      <c r="N85" s="345"/>
      <c r="O85" s="336">
        <v>244350</v>
      </c>
      <c r="P85" s="319" t="s">
        <v>502</v>
      </c>
      <c r="S85" s="140"/>
    </row>
    <row r="86" spans="1:19" ht="24" customHeight="1">
      <c r="A86" s="360"/>
      <c r="B86" s="97" t="s">
        <v>584</v>
      </c>
      <c r="C86" s="353"/>
      <c r="D86" s="343"/>
      <c r="E86" s="360"/>
      <c r="F86" s="288" t="s">
        <v>570</v>
      </c>
      <c r="G86" s="286">
        <v>10593</v>
      </c>
      <c r="H86" s="389"/>
      <c r="I86" s="392"/>
      <c r="J86" s="288" t="s">
        <v>61</v>
      </c>
      <c r="K86" s="100" t="s">
        <v>585</v>
      </c>
      <c r="L86" s="331"/>
      <c r="M86" s="334"/>
      <c r="N86" s="346"/>
      <c r="O86" s="337"/>
      <c r="P86" s="320"/>
      <c r="S86" s="140"/>
    </row>
    <row r="87" spans="1:19" ht="24" customHeight="1">
      <c r="A87" s="360"/>
      <c r="B87" s="97" t="s">
        <v>586</v>
      </c>
      <c r="C87" s="353"/>
      <c r="D87" s="343"/>
      <c r="E87" s="360"/>
      <c r="F87" s="360" t="s">
        <v>267</v>
      </c>
      <c r="G87" s="350">
        <v>10871.2</v>
      </c>
      <c r="H87" s="389"/>
      <c r="I87" s="392"/>
      <c r="J87" s="288" t="s">
        <v>65</v>
      </c>
      <c r="K87" s="97" t="s">
        <v>587</v>
      </c>
      <c r="L87" s="331"/>
      <c r="M87" s="334"/>
      <c r="N87" s="346"/>
      <c r="O87" s="337"/>
      <c r="P87" s="320"/>
      <c r="S87" s="140"/>
    </row>
    <row r="88" spans="1:19" ht="24" customHeight="1">
      <c r="A88" s="361"/>
      <c r="B88" s="102" t="s">
        <v>588</v>
      </c>
      <c r="C88" s="354"/>
      <c r="D88" s="344"/>
      <c r="E88" s="361"/>
      <c r="F88" s="361"/>
      <c r="G88" s="351"/>
      <c r="H88" s="390"/>
      <c r="I88" s="393"/>
      <c r="J88" s="292"/>
      <c r="K88" s="292"/>
      <c r="L88" s="332"/>
      <c r="M88" s="335"/>
      <c r="N88" s="347"/>
      <c r="O88" s="338"/>
      <c r="P88" s="321"/>
      <c r="S88" s="140"/>
    </row>
    <row r="89" spans="1:19" ht="24" customHeight="1">
      <c r="A89" s="364">
        <v>20</v>
      </c>
      <c r="B89" s="94" t="s">
        <v>589</v>
      </c>
      <c r="C89" s="353">
        <v>40500</v>
      </c>
      <c r="D89" s="343">
        <v>43335</v>
      </c>
      <c r="E89" s="364" t="s">
        <v>56</v>
      </c>
      <c r="F89" s="366" t="s">
        <v>590</v>
      </c>
      <c r="G89" s="327">
        <v>43335</v>
      </c>
      <c r="H89" s="365" t="s">
        <v>590</v>
      </c>
      <c r="I89" s="391">
        <v>43335</v>
      </c>
      <c r="J89" s="291"/>
      <c r="K89" s="291"/>
      <c r="L89" s="330" t="s">
        <v>310</v>
      </c>
      <c r="M89" s="333" t="s">
        <v>59</v>
      </c>
      <c r="N89" s="333"/>
      <c r="O89" s="336">
        <v>244350</v>
      </c>
      <c r="P89" s="319" t="s">
        <v>502</v>
      </c>
      <c r="S89" s="140"/>
    </row>
    <row r="90" spans="1:19" ht="24" customHeight="1">
      <c r="A90" s="360"/>
      <c r="B90" s="97" t="s">
        <v>591</v>
      </c>
      <c r="C90" s="353"/>
      <c r="D90" s="343"/>
      <c r="E90" s="360"/>
      <c r="F90" s="367"/>
      <c r="G90" s="328"/>
      <c r="H90" s="362"/>
      <c r="I90" s="392"/>
      <c r="J90" s="288" t="s">
        <v>61</v>
      </c>
      <c r="K90" s="100" t="s">
        <v>592</v>
      </c>
      <c r="L90" s="331"/>
      <c r="M90" s="334"/>
      <c r="N90" s="334"/>
      <c r="O90" s="337"/>
      <c r="P90" s="320"/>
      <c r="S90" s="140"/>
    </row>
    <row r="91" spans="1:19" ht="24" customHeight="1">
      <c r="A91" s="360"/>
      <c r="B91" s="97" t="s">
        <v>593</v>
      </c>
      <c r="C91" s="353"/>
      <c r="D91" s="343"/>
      <c r="E91" s="360"/>
      <c r="F91" s="288" t="s">
        <v>594</v>
      </c>
      <c r="G91" s="286">
        <v>52002</v>
      </c>
      <c r="H91" s="362"/>
      <c r="I91" s="392"/>
      <c r="J91" s="288" t="s">
        <v>65</v>
      </c>
      <c r="K91" s="97" t="s">
        <v>595</v>
      </c>
      <c r="L91" s="331"/>
      <c r="M91" s="334"/>
      <c r="N91" s="334"/>
      <c r="O91" s="337"/>
      <c r="P91" s="320"/>
      <c r="S91" s="140"/>
    </row>
    <row r="92" spans="1:19" ht="24" customHeight="1">
      <c r="A92" s="361"/>
      <c r="B92" s="102"/>
      <c r="C92" s="354"/>
      <c r="D92" s="344"/>
      <c r="E92" s="361"/>
      <c r="F92" s="289" t="s">
        <v>316</v>
      </c>
      <c r="G92" s="287">
        <v>60669</v>
      </c>
      <c r="H92" s="363"/>
      <c r="I92" s="393"/>
      <c r="J92" s="292"/>
      <c r="K92" s="292"/>
      <c r="L92" s="332"/>
      <c r="M92" s="335"/>
      <c r="N92" s="335"/>
      <c r="O92" s="338"/>
      <c r="P92" s="321"/>
      <c r="S92" s="140"/>
    </row>
    <row r="93" spans="1:19" ht="24" customHeight="1">
      <c r="A93" s="340">
        <v>21</v>
      </c>
      <c r="B93" s="97" t="s">
        <v>596</v>
      </c>
      <c r="C93" s="353">
        <v>30930</v>
      </c>
      <c r="D93" s="343">
        <v>33095.1</v>
      </c>
      <c r="E93" s="340" t="s">
        <v>56</v>
      </c>
      <c r="F93" s="366" t="s">
        <v>597</v>
      </c>
      <c r="G93" s="327" t="s">
        <v>598</v>
      </c>
      <c r="H93" s="370" t="s">
        <v>597</v>
      </c>
      <c r="I93" s="328" t="s">
        <v>598</v>
      </c>
      <c r="J93" s="288"/>
      <c r="K93" s="288"/>
      <c r="L93" s="330" t="s">
        <v>614</v>
      </c>
      <c r="M93" s="333"/>
      <c r="N93" s="333" t="s">
        <v>59</v>
      </c>
      <c r="O93" s="336">
        <v>244350</v>
      </c>
      <c r="P93" s="319" t="s">
        <v>502</v>
      </c>
      <c r="S93" s="140"/>
    </row>
    <row r="94" spans="1:19" ht="24" customHeight="1">
      <c r="A94" s="340"/>
      <c r="B94" s="97" t="s">
        <v>599</v>
      </c>
      <c r="C94" s="353"/>
      <c r="D94" s="343"/>
      <c r="E94" s="340"/>
      <c r="F94" s="367"/>
      <c r="G94" s="328"/>
      <c r="H94" s="370"/>
      <c r="I94" s="328"/>
      <c r="J94" s="288" t="s">
        <v>61</v>
      </c>
      <c r="K94" s="293" t="s">
        <v>600</v>
      </c>
      <c r="L94" s="331"/>
      <c r="M94" s="334"/>
      <c r="N94" s="334"/>
      <c r="O94" s="337"/>
      <c r="P94" s="320"/>
      <c r="R94" s="131">
        <v>30930</v>
      </c>
      <c r="S94" s="140"/>
    </row>
    <row r="95" spans="1:19" ht="24" customHeight="1">
      <c r="A95" s="340"/>
      <c r="B95" s="97"/>
      <c r="C95" s="353"/>
      <c r="D95" s="343"/>
      <c r="E95" s="340"/>
      <c r="F95" s="288" t="s">
        <v>601</v>
      </c>
      <c r="G95" s="286">
        <v>41355.5</v>
      </c>
      <c r="H95" s="370"/>
      <c r="I95" s="328"/>
      <c r="J95" s="288" t="s">
        <v>65</v>
      </c>
      <c r="K95" s="97" t="s">
        <v>602</v>
      </c>
      <c r="L95" s="331"/>
      <c r="M95" s="334"/>
      <c r="N95" s="334"/>
      <c r="O95" s="337"/>
      <c r="P95" s="320"/>
      <c r="S95" s="140"/>
    </row>
    <row r="96" spans="1:19" ht="24" customHeight="1">
      <c r="A96" s="341"/>
      <c r="B96" s="102"/>
      <c r="C96" s="354"/>
      <c r="D96" s="344"/>
      <c r="E96" s="341"/>
      <c r="F96" s="285" t="s">
        <v>603</v>
      </c>
      <c r="G96" s="287">
        <v>41890.5</v>
      </c>
      <c r="H96" s="371"/>
      <c r="I96" s="329"/>
      <c r="J96" s="289"/>
      <c r="K96" s="289"/>
      <c r="L96" s="332"/>
      <c r="M96" s="335"/>
      <c r="N96" s="335"/>
      <c r="O96" s="338"/>
      <c r="P96" s="321"/>
      <c r="S96" s="140"/>
    </row>
    <row r="97" spans="1:19" ht="24" customHeight="1">
      <c r="A97" s="364">
        <v>22</v>
      </c>
      <c r="B97" s="94" t="s">
        <v>67</v>
      </c>
      <c r="C97" s="342">
        <v>1120000</v>
      </c>
      <c r="D97" s="394">
        <v>1197031</v>
      </c>
      <c r="E97" s="339" t="s">
        <v>186</v>
      </c>
      <c r="F97" s="324" t="s">
        <v>158</v>
      </c>
      <c r="G97" s="327">
        <v>988000</v>
      </c>
      <c r="H97" s="324" t="s">
        <v>158</v>
      </c>
      <c r="I97" s="327">
        <v>987939</v>
      </c>
      <c r="J97" s="290"/>
      <c r="K97" s="290"/>
      <c r="L97" s="330" t="s">
        <v>69</v>
      </c>
      <c r="M97" s="333" t="s">
        <v>59</v>
      </c>
      <c r="N97" s="333"/>
      <c r="O97" s="336">
        <v>244350</v>
      </c>
      <c r="P97" s="319" t="s">
        <v>502</v>
      </c>
      <c r="S97" s="140"/>
    </row>
    <row r="98" spans="1:19" ht="24" customHeight="1">
      <c r="A98" s="360"/>
      <c r="B98" s="97" t="s">
        <v>281</v>
      </c>
      <c r="C98" s="343"/>
      <c r="D98" s="395"/>
      <c r="E98" s="340"/>
      <c r="F98" s="325"/>
      <c r="G98" s="328"/>
      <c r="H98" s="325"/>
      <c r="I98" s="328"/>
      <c r="J98" s="288" t="s">
        <v>61</v>
      </c>
      <c r="K98" s="100" t="s">
        <v>605</v>
      </c>
      <c r="L98" s="331"/>
      <c r="M98" s="334"/>
      <c r="N98" s="334"/>
      <c r="O98" s="337"/>
      <c r="P98" s="320"/>
      <c r="S98" s="140"/>
    </row>
    <row r="99" spans="1:19" ht="24" customHeight="1">
      <c r="A99" s="360"/>
      <c r="B99" s="97" t="s">
        <v>287</v>
      </c>
      <c r="C99" s="343"/>
      <c r="D99" s="395"/>
      <c r="E99" s="340"/>
      <c r="F99" s="348" t="s">
        <v>278</v>
      </c>
      <c r="G99" s="350">
        <v>1021000</v>
      </c>
      <c r="H99" s="325"/>
      <c r="I99" s="328"/>
      <c r="J99" s="288" t="s">
        <v>65</v>
      </c>
      <c r="K99" s="97" t="s">
        <v>606</v>
      </c>
      <c r="L99" s="331"/>
      <c r="M99" s="334"/>
      <c r="N99" s="334"/>
      <c r="O99" s="337"/>
      <c r="P99" s="320"/>
      <c r="S99" s="140"/>
    </row>
    <row r="100" spans="1:19" ht="24" customHeight="1">
      <c r="A100" s="360"/>
      <c r="B100" s="97" t="s">
        <v>607</v>
      </c>
      <c r="C100" s="343"/>
      <c r="D100" s="395"/>
      <c r="E100" s="340"/>
      <c r="F100" s="349"/>
      <c r="G100" s="351"/>
      <c r="H100" s="326"/>
      <c r="I100" s="329"/>
      <c r="J100" s="288"/>
      <c r="K100" s="97"/>
      <c r="L100" s="332"/>
      <c r="M100" s="335"/>
      <c r="N100" s="335"/>
      <c r="O100" s="338"/>
      <c r="P100" s="321"/>
      <c r="S100" s="140"/>
    </row>
    <row r="101" spans="1:19" ht="24" customHeight="1">
      <c r="A101" s="364">
        <v>23</v>
      </c>
      <c r="B101" s="94" t="s">
        <v>67</v>
      </c>
      <c r="C101" s="342">
        <v>1120000</v>
      </c>
      <c r="D101" s="342">
        <v>1197691</v>
      </c>
      <c r="E101" s="364" t="s">
        <v>186</v>
      </c>
      <c r="F101" s="283" t="s">
        <v>200</v>
      </c>
      <c r="G101" s="284">
        <v>982000</v>
      </c>
      <c r="H101" s="324" t="s">
        <v>200</v>
      </c>
      <c r="I101" s="327">
        <v>982000</v>
      </c>
      <c r="J101" s="141"/>
      <c r="K101" s="142"/>
      <c r="L101" s="330" t="s">
        <v>69</v>
      </c>
      <c r="M101" s="333" t="s">
        <v>59</v>
      </c>
      <c r="N101" s="345"/>
      <c r="O101" s="336">
        <v>244350</v>
      </c>
      <c r="P101" s="319" t="s">
        <v>502</v>
      </c>
      <c r="S101" s="140"/>
    </row>
    <row r="102" spans="1:19" ht="24" customHeight="1">
      <c r="A102" s="360"/>
      <c r="B102" s="97" t="s">
        <v>281</v>
      </c>
      <c r="C102" s="343"/>
      <c r="D102" s="343"/>
      <c r="E102" s="360"/>
      <c r="F102" s="348" t="s">
        <v>158</v>
      </c>
      <c r="G102" s="350">
        <v>1028000</v>
      </c>
      <c r="H102" s="325"/>
      <c r="I102" s="328"/>
      <c r="J102" s="288" t="s">
        <v>61</v>
      </c>
      <c r="K102" s="100" t="s">
        <v>608</v>
      </c>
      <c r="L102" s="331"/>
      <c r="M102" s="334"/>
      <c r="N102" s="346"/>
      <c r="O102" s="337"/>
      <c r="P102" s="320"/>
      <c r="S102" s="140"/>
    </row>
    <row r="103" spans="1:19" ht="24" customHeight="1">
      <c r="A103" s="360"/>
      <c r="B103" s="97" t="s">
        <v>283</v>
      </c>
      <c r="C103" s="343"/>
      <c r="D103" s="343"/>
      <c r="E103" s="360"/>
      <c r="F103" s="348"/>
      <c r="G103" s="350"/>
      <c r="H103" s="325"/>
      <c r="I103" s="328"/>
      <c r="J103" s="288" t="s">
        <v>65</v>
      </c>
      <c r="K103" s="97" t="s">
        <v>609</v>
      </c>
      <c r="L103" s="331"/>
      <c r="M103" s="334"/>
      <c r="N103" s="346"/>
      <c r="O103" s="337"/>
      <c r="P103" s="320"/>
      <c r="S103" s="140"/>
    </row>
    <row r="104" spans="1:19" ht="24" customHeight="1">
      <c r="A104" s="361"/>
      <c r="B104" s="102" t="s">
        <v>610</v>
      </c>
      <c r="C104" s="344"/>
      <c r="D104" s="344"/>
      <c r="E104" s="361"/>
      <c r="F104" s="285" t="s">
        <v>278</v>
      </c>
      <c r="G104" s="287">
        <v>1080000</v>
      </c>
      <c r="H104" s="326"/>
      <c r="I104" s="329"/>
      <c r="J104" s="145"/>
      <c r="K104" s="146"/>
      <c r="L104" s="331"/>
      <c r="M104" s="334"/>
      <c r="N104" s="346"/>
      <c r="O104" s="338"/>
      <c r="P104" s="321"/>
      <c r="S104" s="140"/>
    </row>
    <row r="105" spans="1:19" ht="24" customHeight="1">
      <c r="A105" s="364">
        <v>24</v>
      </c>
      <c r="B105" s="94" t="s">
        <v>618</v>
      </c>
      <c r="C105" s="342">
        <v>4480</v>
      </c>
      <c r="D105" s="342">
        <v>4793.6000000000004</v>
      </c>
      <c r="E105" s="364" t="s">
        <v>56</v>
      </c>
      <c r="F105" s="314" t="s">
        <v>76</v>
      </c>
      <c r="G105" s="315">
        <v>4793.6000000000004</v>
      </c>
      <c r="H105" s="366" t="s">
        <v>76</v>
      </c>
      <c r="I105" s="391">
        <v>4793.6000000000004</v>
      </c>
      <c r="J105" s="314"/>
      <c r="K105" s="314"/>
      <c r="L105" s="330" t="s">
        <v>90</v>
      </c>
      <c r="M105" s="333" t="s">
        <v>59</v>
      </c>
      <c r="N105" s="345"/>
      <c r="O105" s="336">
        <v>244381</v>
      </c>
      <c r="P105" s="319" t="s">
        <v>502</v>
      </c>
      <c r="S105" s="140"/>
    </row>
    <row r="106" spans="1:19" ht="24" customHeight="1">
      <c r="A106" s="360"/>
      <c r="B106" s="97" t="s">
        <v>619</v>
      </c>
      <c r="C106" s="343"/>
      <c r="D106" s="343"/>
      <c r="E106" s="360"/>
      <c r="F106" s="312" t="s">
        <v>79</v>
      </c>
      <c r="G106" s="317">
        <v>5296.5</v>
      </c>
      <c r="H106" s="367"/>
      <c r="I106" s="392"/>
      <c r="J106" s="312" t="s">
        <v>61</v>
      </c>
      <c r="K106" s="100" t="s">
        <v>620</v>
      </c>
      <c r="L106" s="331"/>
      <c r="M106" s="334"/>
      <c r="N106" s="346"/>
      <c r="O106" s="337"/>
      <c r="P106" s="320"/>
      <c r="S106" s="140"/>
    </row>
    <row r="107" spans="1:19" ht="24" customHeight="1">
      <c r="A107" s="360"/>
      <c r="B107" s="97"/>
      <c r="C107" s="343"/>
      <c r="D107" s="343"/>
      <c r="E107" s="360"/>
      <c r="F107" s="360" t="s">
        <v>82</v>
      </c>
      <c r="G107" s="350">
        <v>6034.8</v>
      </c>
      <c r="H107" s="367"/>
      <c r="I107" s="392"/>
      <c r="J107" s="312" t="s">
        <v>65</v>
      </c>
      <c r="K107" s="97" t="s">
        <v>621</v>
      </c>
      <c r="L107" s="331"/>
      <c r="M107" s="334"/>
      <c r="N107" s="346"/>
      <c r="O107" s="337"/>
      <c r="P107" s="320"/>
      <c r="S107" s="140"/>
    </row>
    <row r="108" spans="1:19" ht="24" customHeight="1">
      <c r="A108" s="361"/>
      <c r="B108" s="316"/>
      <c r="C108" s="344"/>
      <c r="D108" s="344"/>
      <c r="E108" s="361"/>
      <c r="F108" s="361"/>
      <c r="G108" s="351"/>
      <c r="H108" s="368"/>
      <c r="I108" s="393"/>
      <c r="J108" s="316"/>
      <c r="K108" s="316"/>
      <c r="L108" s="332"/>
      <c r="M108" s="335"/>
      <c r="N108" s="347"/>
      <c r="O108" s="338"/>
      <c r="P108" s="321"/>
      <c r="S108" s="140"/>
    </row>
    <row r="109" spans="1:19" ht="24" customHeight="1">
      <c r="A109" s="364">
        <v>25</v>
      </c>
      <c r="B109" s="94" t="s">
        <v>622</v>
      </c>
      <c r="C109" s="353">
        <v>2830</v>
      </c>
      <c r="D109" s="343">
        <v>3028.1</v>
      </c>
      <c r="E109" s="364" t="s">
        <v>56</v>
      </c>
      <c r="F109" s="314" t="s">
        <v>89</v>
      </c>
      <c r="G109" s="315">
        <v>3028.1</v>
      </c>
      <c r="H109" s="388" t="s">
        <v>89</v>
      </c>
      <c r="I109" s="391">
        <v>3028.1</v>
      </c>
      <c r="J109" s="314"/>
      <c r="K109" s="314"/>
      <c r="L109" s="330" t="s">
        <v>90</v>
      </c>
      <c r="M109" s="333" t="s">
        <v>59</v>
      </c>
      <c r="N109" s="333"/>
      <c r="O109" s="336">
        <v>244381</v>
      </c>
      <c r="P109" s="319" t="s">
        <v>502</v>
      </c>
      <c r="S109" s="140"/>
    </row>
    <row r="110" spans="1:19" ht="24" customHeight="1">
      <c r="A110" s="360"/>
      <c r="B110" s="97" t="s">
        <v>623</v>
      </c>
      <c r="C110" s="353"/>
      <c r="D110" s="343"/>
      <c r="E110" s="360"/>
      <c r="F110" s="360" t="s">
        <v>624</v>
      </c>
      <c r="G110" s="350" t="s">
        <v>625</v>
      </c>
      <c r="H110" s="389"/>
      <c r="I110" s="392"/>
      <c r="J110" s="309" t="s">
        <v>61</v>
      </c>
      <c r="K110" s="100" t="s">
        <v>626</v>
      </c>
      <c r="L110" s="331"/>
      <c r="M110" s="334"/>
      <c r="N110" s="334"/>
      <c r="O110" s="337"/>
      <c r="P110" s="320"/>
      <c r="S110" s="140"/>
    </row>
    <row r="111" spans="1:19" ht="24" customHeight="1">
      <c r="A111" s="360"/>
      <c r="B111" s="97"/>
      <c r="C111" s="353"/>
      <c r="D111" s="343"/>
      <c r="E111" s="360"/>
      <c r="F111" s="360"/>
      <c r="G111" s="350"/>
      <c r="H111" s="389"/>
      <c r="I111" s="392"/>
      <c r="J111" s="310" t="s">
        <v>65</v>
      </c>
      <c r="K111" s="311" t="s">
        <v>627</v>
      </c>
      <c r="L111" s="331"/>
      <c r="M111" s="334"/>
      <c r="N111" s="334"/>
      <c r="O111" s="337"/>
      <c r="P111" s="320"/>
      <c r="S111" s="140"/>
    </row>
    <row r="112" spans="1:19" ht="24" customHeight="1">
      <c r="A112" s="361"/>
      <c r="B112" s="102"/>
      <c r="C112" s="354"/>
      <c r="D112" s="344"/>
      <c r="E112" s="361"/>
      <c r="F112" s="313" t="s">
        <v>92</v>
      </c>
      <c r="G112" s="318">
        <v>4494</v>
      </c>
      <c r="H112" s="390"/>
      <c r="I112" s="393"/>
      <c r="J112" s="316"/>
      <c r="K112" s="316"/>
      <c r="L112" s="332"/>
      <c r="M112" s="335"/>
      <c r="N112" s="335"/>
      <c r="O112" s="338"/>
      <c r="P112" s="321"/>
      <c r="S112" s="140"/>
    </row>
    <row r="113" spans="1:19" ht="24" customHeight="1">
      <c r="A113" s="364">
        <v>26</v>
      </c>
      <c r="B113" s="97" t="s">
        <v>628</v>
      </c>
      <c r="C113" s="353">
        <v>1200</v>
      </c>
      <c r="D113" s="343">
        <v>1284</v>
      </c>
      <c r="E113" s="364" t="s">
        <v>56</v>
      </c>
      <c r="F113" s="366" t="s">
        <v>629</v>
      </c>
      <c r="G113" s="327" t="s">
        <v>630</v>
      </c>
      <c r="H113" s="388" t="s">
        <v>629</v>
      </c>
      <c r="I113" s="391" t="s">
        <v>630</v>
      </c>
      <c r="J113" s="314"/>
      <c r="K113" s="314"/>
      <c r="L113" s="330" t="s">
        <v>77</v>
      </c>
      <c r="M113" s="333"/>
      <c r="N113" s="333" t="s">
        <v>59</v>
      </c>
      <c r="O113" s="336">
        <v>244381</v>
      </c>
      <c r="P113" s="319" t="s">
        <v>502</v>
      </c>
      <c r="S113" s="140"/>
    </row>
    <row r="114" spans="1:19" ht="24" customHeight="1">
      <c r="A114" s="360"/>
      <c r="B114" s="97" t="s">
        <v>2</v>
      </c>
      <c r="C114" s="353"/>
      <c r="D114" s="343"/>
      <c r="E114" s="360"/>
      <c r="F114" s="367"/>
      <c r="G114" s="328"/>
      <c r="H114" s="389"/>
      <c r="I114" s="392"/>
      <c r="J114" s="309" t="s">
        <v>61</v>
      </c>
      <c r="K114" s="100" t="s">
        <v>631</v>
      </c>
      <c r="L114" s="331"/>
      <c r="M114" s="334"/>
      <c r="N114" s="334"/>
      <c r="O114" s="337"/>
      <c r="P114" s="320"/>
      <c r="R114" s="131">
        <v>1200</v>
      </c>
      <c r="S114" s="140"/>
    </row>
    <row r="115" spans="1:19" ht="24" customHeight="1">
      <c r="A115" s="360"/>
      <c r="B115" s="97" t="s">
        <v>632</v>
      </c>
      <c r="C115" s="353"/>
      <c r="D115" s="343"/>
      <c r="E115" s="360"/>
      <c r="F115" s="312" t="s">
        <v>603</v>
      </c>
      <c r="G115" s="317">
        <v>1712</v>
      </c>
      <c r="H115" s="389"/>
      <c r="I115" s="392"/>
      <c r="J115" s="312" t="s">
        <v>65</v>
      </c>
      <c r="K115" s="97" t="s">
        <v>633</v>
      </c>
      <c r="L115" s="331"/>
      <c r="M115" s="334"/>
      <c r="N115" s="334"/>
      <c r="O115" s="337"/>
      <c r="P115" s="320"/>
      <c r="S115" s="140"/>
    </row>
    <row r="116" spans="1:19" ht="24" customHeight="1">
      <c r="A116" s="361"/>
      <c r="B116" s="102"/>
      <c r="C116" s="354"/>
      <c r="D116" s="344"/>
      <c r="E116" s="361"/>
      <c r="F116" s="313" t="s">
        <v>601</v>
      </c>
      <c r="G116" s="318">
        <v>2140</v>
      </c>
      <c r="H116" s="390"/>
      <c r="I116" s="393"/>
      <c r="J116" s="316"/>
      <c r="K116" s="316"/>
      <c r="L116" s="332"/>
      <c r="M116" s="335"/>
      <c r="N116" s="335"/>
      <c r="O116" s="338"/>
      <c r="P116" s="321"/>
      <c r="S116" s="140"/>
    </row>
    <row r="117" spans="1:19" ht="24" customHeight="1">
      <c r="A117" s="364">
        <v>27</v>
      </c>
      <c r="B117" s="94" t="s">
        <v>634</v>
      </c>
      <c r="C117" s="353">
        <v>5510</v>
      </c>
      <c r="D117" s="343">
        <v>5895.7</v>
      </c>
      <c r="E117" s="364" t="s">
        <v>56</v>
      </c>
      <c r="F117" s="314" t="s">
        <v>76</v>
      </c>
      <c r="G117" s="315">
        <v>5895.7</v>
      </c>
      <c r="H117" s="365" t="s">
        <v>76</v>
      </c>
      <c r="I117" s="391">
        <v>5895.7</v>
      </c>
      <c r="J117" s="314"/>
      <c r="K117" s="314"/>
      <c r="L117" s="330" t="s">
        <v>77</v>
      </c>
      <c r="M117" s="333" t="s">
        <v>59</v>
      </c>
      <c r="N117" s="333"/>
      <c r="O117" s="336">
        <v>244381</v>
      </c>
      <c r="P117" s="319" t="s">
        <v>502</v>
      </c>
      <c r="S117" s="140"/>
    </row>
    <row r="118" spans="1:19" ht="24" customHeight="1">
      <c r="A118" s="360"/>
      <c r="B118" s="97" t="s">
        <v>2</v>
      </c>
      <c r="C118" s="353"/>
      <c r="D118" s="343"/>
      <c r="E118" s="360"/>
      <c r="F118" s="312" t="s">
        <v>79</v>
      </c>
      <c r="G118" s="317">
        <v>6527</v>
      </c>
      <c r="H118" s="362"/>
      <c r="I118" s="392"/>
      <c r="J118" s="312" t="s">
        <v>61</v>
      </c>
      <c r="K118" s="100" t="s">
        <v>635</v>
      </c>
      <c r="L118" s="331"/>
      <c r="M118" s="334"/>
      <c r="N118" s="334"/>
      <c r="O118" s="337"/>
      <c r="P118" s="320"/>
      <c r="S118" s="140"/>
    </row>
    <row r="119" spans="1:19" ht="24" customHeight="1">
      <c r="A119" s="360"/>
      <c r="B119" s="97" t="s">
        <v>636</v>
      </c>
      <c r="C119" s="353"/>
      <c r="D119" s="343"/>
      <c r="E119" s="360"/>
      <c r="F119" s="360" t="s">
        <v>82</v>
      </c>
      <c r="G119" s="350">
        <v>6848</v>
      </c>
      <c r="H119" s="362"/>
      <c r="I119" s="392"/>
      <c r="J119" s="312" t="s">
        <v>65</v>
      </c>
      <c r="K119" s="97" t="s">
        <v>637</v>
      </c>
      <c r="L119" s="331"/>
      <c r="M119" s="334"/>
      <c r="N119" s="334"/>
      <c r="O119" s="337"/>
      <c r="P119" s="320"/>
      <c r="S119" s="140"/>
    </row>
    <row r="120" spans="1:19" ht="24" customHeight="1">
      <c r="A120" s="361"/>
      <c r="B120" s="102"/>
      <c r="C120" s="354"/>
      <c r="D120" s="344"/>
      <c r="E120" s="361"/>
      <c r="F120" s="361"/>
      <c r="G120" s="351"/>
      <c r="H120" s="363"/>
      <c r="I120" s="393"/>
      <c r="J120" s="316"/>
      <c r="K120" s="316"/>
      <c r="L120" s="332"/>
      <c r="M120" s="335"/>
      <c r="N120" s="335"/>
      <c r="O120" s="338"/>
      <c r="P120" s="321"/>
      <c r="S120" s="140"/>
    </row>
    <row r="121" spans="1:19" ht="24" customHeight="1">
      <c r="A121" s="340">
        <v>28</v>
      </c>
      <c r="B121" s="97" t="s">
        <v>164</v>
      </c>
      <c r="C121" s="353">
        <v>35000</v>
      </c>
      <c r="D121" s="343">
        <v>37028</v>
      </c>
      <c r="E121" s="340" t="s">
        <v>56</v>
      </c>
      <c r="F121" s="366" t="s">
        <v>68</v>
      </c>
      <c r="G121" s="327">
        <v>36478</v>
      </c>
      <c r="H121" s="366" t="s">
        <v>68</v>
      </c>
      <c r="I121" s="327">
        <v>36478</v>
      </c>
      <c r="J121" s="312"/>
      <c r="K121" s="312"/>
      <c r="L121" s="330" t="s">
        <v>651</v>
      </c>
      <c r="M121" s="333" t="s">
        <v>59</v>
      </c>
      <c r="N121" s="333"/>
      <c r="O121" s="336">
        <v>244381</v>
      </c>
      <c r="P121" s="319" t="s">
        <v>502</v>
      </c>
      <c r="S121" s="140"/>
    </row>
    <row r="122" spans="1:19" ht="24" customHeight="1">
      <c r="A122" s="340"/>
      <c r="B122" s="97" t="s">
        <v>638</v>
      </c>
      <c r="C122" s="353"/>
      <c r="D122" s="343"/>
      <c r="E122" s="340"/>
      <c r="F122" s="367"/>
      <c r="G122" s="328"/>
      <c r="H122" s="367"/>
      <c r="I122" s="328"/>
      <c r="J122" s="312" t="s">
        <v>71</v>
      </c>
      <c r="K122" s="293" t="s">
        <v>639</v>
      </c>
      <c r="L122" s="331"/>
      <c r="M122" s="334"/>
      <c r="N122" s="334"/>
      <c r="O122" s="337"/>
      <c r="P122" s="320"/>
      <c r="S122" s="140"/>
    </row>
    <row r="123" spans="1:19" ht="24" customHeight="1">
      <c r="A123" s="340"/>
      <c r="B123" s="97" t="s">
        <v>640</v>
      </c>
      <c r="C123" s="353"/>
      <c r="D123" s="343"/>
      <c r="E123" s="340"/>
      <c r="F123" s="367"/>
      <c r="G123" s="328"/>
      <c r="H123" s="367"/>
      <c r="I123" s="328"/>
      <c r="J123" s="312" t="s">
        <v>65</v>
      </c>
      <c r="K123" s="97" t="s">
        <v>641</v>
      </c>
      <c r="L123" s="331"/>
      <c r="M123" s="334"/>
      <c r="N123" s="334"/>
      <c r="O123" s="337"/>
      <c r="P123" s="320"/>
      <c r="S123" s="140"/>
    </row>
    <row r="124" spans="1:19" ht="24" customHeight="1">
      <c r="A124" s="341"/>
      <c r="B124" s="102"/>
      <c r="C124" s="354"/>
      <c r="D124" s="344"/>
      <c r="E124" s="341"/>
      <c r="F124" s="368"/>
      <c r="G124" s="329"/>
      <c r="H124" s="368"/>
      <c r="I124" s="329"/>
      <c r="J124" s="313"/>
      <c r="K124" s="313"/>
      <c r="L124" s="332"/>
      <c r="M124" s="335"/>
      <c r="N124" s="335"/>
      <c r="O124" s="338"/>
      <c r="P124" s="321"/>
      <c r="S124" s="140"/>
    </row>
    <row r="125" spans="1:19" ht="24" customHeight="1">
      <c r="A125" s="114"/>
      <c r="B125" s="322" t="s">
        <v>652</v>
      </c>
      <c r="C125" s="322"/>
      <c r="D125" s="322"/>
      <c r="E125" s="322"/>
      <c r="F125" s="322"/>
      <c r="G125" s="322"/>
      <c r="H125" s="323"/>
      <c r="I125" s="115">
        <f>SUM(I8:I92,R94,I97,I101,I105,I109,R114,I117,I121)</f>
        <v>21077432.66</v>
      </c>
      <c r="J125" s="116"/>
      <c r="K125" s="117"/>
      <c r="L125" s="159"/>
      <c r="M125" s="160"/>
      <c r="N125" s="161"/>
      <c r="O125" s="162"/>
      <c r="P125" s="163"/>
      <c r="S125" s="140"/>
    </row>
    <row r="126" spans="1:19" ht="24" customHeight="1">
      <c r="A126" s="164"/>
      <c r="B126" s="165"/>
      <c r="C126" s="165"/>
      <c r="D126" s="165"/>
      <c r="E126" s="165"/>
      <c r="F126" s="165"/>
      <c r="G126" s="165"/>
      <c r="H126" s="165"/>
      <c r="I126" s="166"/>
      <c r="J126" s="167"/>
      <c r="K126" s="168"/>
      <c r="L126" s="169"/>
      <c r="M126" s="170"/>
      <c r="N126" s="83"/>
      <c r="O126" s="171"/>
      <c r="P126" s="172"/>
      <c r="S126" s="140"/>
    </row>
    <row r="127" spans="1:19" ht="24" customHeight="1">
      <c r="A127" s="164"/>
      <c r="B127" s="165"/>
      <c r="C127" s="165"/>
      <c r="D127" s="165"/>
      <c r="E127" s="165"/>
      <c r="F127" s="165"/>
      <c r="G127" s="165"/>
      <c r="H127" s="165"/>
      <c r="I127" s="166"/>
      <c r="J127" s="167"/>
      <c r="K127" s="168"/>
      <c r="L127" s="169"/>
      <c r="M127" s="170"/>
      <c r="N127" s="83"/>
      <c r="O127" s="171"/>
      <c r="P127" s="172"/>
      <c r="S127" s="140"/>
    </row>
    <row r="128" spans="1:19" ht="24" customHeight="1">
      <c r="A128" s="164"/>
      <c r="B128" s="165"/>
      <c r="C128" s="165"/>
      <c r="D128" s="165"/>
      <c r="E128" s="165"/>
      <c r="F128" s="165"/>
      <c r="G128" s="165"/>
      <c r="H128" s="165"/>
      <c r="I128" s="166"/>
      <c r="J128" s="167"/>
      <c r="K128" s="168"/>
      <c r="L128" s="169"/>
      <c r="M128" s="170"/>
      <c r="N128" s="83"/>
      <c r="O128" s="171"/>
      <c r="P128" s="172"/>
      <c r="S128" s="140"/>
    </row>
    <row r="129" spans="1:19" ht="24" customHeight="1">
      <c r="A129" s="164"/>
      <c r="B129" s="165"/>
      <c r="C129" s="165"/>
      <c r="D129" s="165"/>
      <c r="E129" s="165"/>
      <c r="F129" s="165"/>
      <c r="G129" s="165"/>
      <c r="H129" s="165"/>
      <c r="I129" s="166"/>
      <c r="J129" s="167"/>
      <c r="K129" s="168"/>
      <c r="L129" s="169"/>
      <c r="M129" s="170"/>
      <c r="N129" s="83"/>
      <c r="O129" s="171"/>
      <c r="P129" s="172"/>
      <c r="S129" s="140"/>
    </row>
    <row r="130" spans="1:19" ht="24" customHeight="1">
      <c r="A130" s="164"/>
      <c r="B130" s="165"/>
      <c r="C130" s="165"/>
      <c r="D130" s="165"/>
      <c r="E130" s="165"/>
      <c r="F130" s="165"/>
      <c r="G130" s="165"/>
      <c r="H130" s="165"/>
      <c r="I130" s="166"/>
      <c r="J130" s="167"/>
      <c r="K130" s="168"/>
      <c r="L130" s="169"/>
      <c r="M130" s="170"/>
      <c r="N130" s="83"/>
      <c r="O130" s="171"/>
      <c r="P130" s="172"/>
      <c r="S130" s="140"/>
    </row>
    <row r="131" spans="1:19" ht="24" customHeight="1">
      <c r="A131" s="164"/>
      <c r="B131" s="165"/>
      <c r="C131" s="165"/>
      <c r="D131" s="165"/>
      <c r="E131" s="165"/>
      <c r="F131" s="165"/>
      <c r="G131" s="165"/>
      <c r="H131" s="165"/>
      <c r="I131" s="166"/>
      <c r="J131" s="167"/>
      <c r="K131" s="168"/>
      <c r="L131" s="169"/>
      <c r="M131" s="170"/>
      <c r="N131" s="83"/>
      <c r="O131" s="171"/>
      <c r="P131" s="172"/>
      <c r="S131" s="140"/>
    </row>
    <row r="132" spans="1:19" ht="24" customHeight="1">
      <c r="A132" s="164"/>
      <c r="B132" s="165"/>
      <c r="C132" s="165"/>
      <c r="D132" s="165"/>
      <c r="E132" s="165"/>
      <c r="F132" s="165"/>
      <c r="G132" s="165"/>
      <c r="H132" s="165"/>
      <c r="I132" s="166"/>
      <c r="J132" s="167"/>
      <c r="K132" s="168"/>
      <c r="L132" s="169"/>
      <c r="M132" s="170"/>
      <c r="N132" s="83"/>
      <c r="O132" s="171"/>
      <c r="P132" s="172"/>
      <c r="S132" s="140"/>
    </row>
    <row r="133" spans="1:19" ht="24" customHeight="1">
      <c r="A133" s="164"/>
      <c r="B133" s="165"/>
      <c r="C133" s="165"/>
      <c r="D133" s="165"/>
      <c r="E133" s="165"/>
      <c r="F133" s="165"/>
      <c r="G133" s="165"/>
      <c r="H133" s="165"/>
      <c r="I133" s="166"/>
      <c r="J133" s="167"/>
      <c r="K133" s="168"/>
      <c r="L133" s="169"/>
      <c r="M133" s="170"/>
      <c r="N133" s="83"/>
      <c r="O133" s="171"/>
      <c r="P133" s="172"/>
      <c r="S133" s="140"/>
    </row>
    <row r="134" spans="1:19" ht="24" customHeight="1">
      <c r="A134" s="164"/>
      <c r="B134" s="165"/>
      <c r="C134" s="165"/>
      <c r="D134" s="165"/>
      <c r="E134" s="165"/>
      <c r="F134" s="165"/>
      <c r="G134" s="165"/>
      <c r="H134" s="165"/>
      <c r="I134" s="166"/>
      <c r="J134" s="167"/>
      <c r="K134" s="168"/>
      <c r="L134" s="169"/>
      <c r="M134" s="170"/>
      <c r="N134" s="83"/>
      <c r="O134" s="171"/>
      <c r="P134" s="172"/>
      <c r="S134" s="140"/>
    </row>
    <row r="135" spans="1:19" ht="24" customHeight="1">
      <c r="A135" s="164"/>
      <c r="B135" s="165"/>
      <c r="C135" s="165"/>
      <c r="D135" s="165"/>
      <c r="E135" s="165"/>
      <c r="F135" s="165"/>
      <c r="G135" s="165"/>
      <c r="H135" s="165"/>
      <c r="I135" s="166"/>
      <c r="J135" s="167"/>
      <c r="K135" s="168"/>
      <c r="L135" s="169"/>
      <c r="M135" s="170"/>
      <c r="N135" s="83"/>
      <c r="O135" s="171"/>
      <c r="P135" s="172"/>
      <c r="S135" s="140"/>
    </row>
    <row r="136" spans="1:19" ht="24" customHeight="1">
      <c r="A136" s="164"/>
      <c r="B136" s="165"/>
      <c r="C136" s="165"/>
      <c r="D136" s="165"/>
      <c r="E136" s="165"/>
      <c r="F136" s="165"/>
      <c r="G136" s="165"/>
      <c r="H136" s="165"/>
      <c r="I136" s="166"/>
      <c r="J136" s="167"/>
      <c r="K136" s="168"/>
      <c r="L136" s="169"/>
      <c r="M136" s="170"/>
      <c r="N136" s="83"/>
      <c r="O136" s="171"/>
      <c r="P136" s="172"/>
      <c r="S136" s="140"/>
    </row>
    <row r="137" spans="1:19" ht="24" customHeight="1">
      <c r="A137" s="164"/>
      <c r="B137" s="165"/>
      <c r="C137" s="165"/>
      <c r="D137" s="165"/>
      <c r="E137" s="165"/>
      <c r="F137" s="165"/>
      <c r="G137" s="165"/>
      <c r="H137" s="165"/>
      <c r="I137" s="166"/>
      <c r="J137" s="167"/>
      <c r="K137" s="168"/>
      <c r="L137" s="169"/>
      <c r="M137" s="170"/>
      <c r="N137" s="83"/>
      <c r="O137" s="171"/>
      <c r="P137" s="172"/>
      <c r="S137" s="140"/>
    </row>
    <row r="138" spans="1:19" ht="24" customHeight="1">
      <c r="A138" s="164"/>
      <c r="B138" s="165"/>
      <c r="C138" s="165"/>
      <c r="D138" s="165"/>
      <c r="E138" s="165"/>
      <c r="F138" s="165"/>
      <c r="G138" s="165"/>
      <c r="H138" s="165"/>
      <c r="I138" s="166"/>
      <c r="J138" s="167"/>
      <c r="K138" s="168"/>
      <c r="L138" s="169"/>
      <c r="M138" s="170"/>
      <c r="N138" s="83"/>
      <c r="O138" s="171"/>
      <c r="P138" s="172"/>
      <c r="S138" s="140"/>
    </row>
    <row r="139" spans="1:19" ht="24" customHeight="1">
      <c r="A139" s="164"/>
      <c r="B139" s="165"/>
      <c r="C139" s="165"/>
      <c r="D139" s="165"/>
      <c r="E139" s="165"/>
      <c r="F139" s="165"/>
      <c r="G139" s="165"/>
      <c r="H139" s="165"/>
      <c r="I139" s="166"/>
      <c r="J139" s="167"/>
      <c r="K139" s="168"/>
      <c r="L139" s="169"/>
      <c r="M139" s="170"/>
      <c r="N139" s="83"/>
      <c r="O139" s="171"/>
      <c r="P139" s="172"/>
      <c r="S139" s="140"/>
    </row>
    <row r="140" spans="1:19" ht="24" customHeight="1">
      <c r="A140" s="164"/>
      <c r="B140" s="165"/>
      <c r="C140" s="165"/>
      <c r="D140" s="165"/>
      <c r="E140" s="165"/>
      <c r="F140" s="165"/>
      <c r="G140" s="165"/>
      <c r="H140" s="165"/>
      <c r="I140" s="166"/>
      <c r="J140" s="167"/>
      <c r="K140" s="168"/>
      <c r="L140" s="169"/>
      <c r="M140" s="170"/>
      <c r="N140" s="83"/>
      <c r="O140" s="171"/>
      <c r="P140" s="172"/>
      <c r="S140" s="140"/>
    </row>
    <row r="141" spans="1:19" ht="24" customHeight="1">
      <c r="A141" s="164"/>
      <c r="B141" s="165"/>
      <c r="C141" s="165"/>
      <c r="D141" s="165"/>
      <c r="E141" s="165"/>
      <c r="F141" s="165"/>
      <c r="G141" s="165"/>
      <c r="H141" s="165"/>
      <c r="I141" s="166"/>
      <c r="J141" s="167"/>
      <c r="K141" s="168"/>
      <c r="L141" s="169"/>
      <c r="M141" s="170"/>
      <c r="N141" s="83"/>
      <c r="O141" s="171"/>
      <c r="P141" s="172"/>
      <c r="S141" s="140"/>
    </row>
    <row r="142" spans="1:19" ht="24" customHeight="1">
      <c r="A142" s="164"/>
      <c r="B142" s="165"/>
      <c r="C142" s="165"/>
      <c r="D142" s="165"/>
      <c r="E142" s="165"/>
      <c r="F142" s="165"/>
      <c r="G142" s="165"/>
      <c r="H142" s="165"/>
      <c r="I142" s="166"/>
      <c r="J142" s="167"/>
      <c r="K142" s="168"/>
      <c r="L142" s="169"/>
      <c r="M142" s="170"/>
      <c r="N142" s="83"/>
      <c r="O142" s="171"/>
      <c r="P142" s="172"/>
      <c r="S142" s="140"/>
    </row>
    <row r="143" spans="1:19" ht="24" customHeight="1">
      <c r="A143" s="164"/>
      <c r="B143" s="165"/>
      <c r="C143" s="165"/>
      <c r="D143" s="165"/>
      <c r="E143" s="165"/>
      <c r="F143" s="165"/>
      <c r="G143" s="165"/>
      <c r="H143" s="165"/>
      <c r="I143" s="166"/>
      <c r="J143" s="167"/>
      <c r="K143" s="168"/>
      <c r="L143" s="169"/>
      <c r="M143" s="170"/>
      <c r="N143" s="83"/>
      <c r="O143" s="171"/>
      <c r="P143" s="172"/>
      <c r="S143" s="140"/>
    </row>
    <row r="144" spans="1:19" ht="24" customHeight="1">
      <c r="A144" s="164"/>
      <c r="B144" s="165"/>
      <c r="C144" s="165"/>
      <c r="D144" s="165"/>
      <c r="E144" s="165"/>
      <c r="F144" s="165"/>
      <c r="G144" s="165"/>
      <c r="H144" s="165"/>
      <c r="I144" s="166"/>
      <c r="J144" s="167"/>
      <c r="K144" s="168"/>
      <c r="L144" s="169"/>
      <c r="M144" s="170"/>
      <c r="N144" s="83"/>
      <c r="O144" s="171"/>
      <c r="P144" s="172"/>
      <c r="S144" s="140"/>
    </row>
    <row r="145" spans="1:19" ht="24" customHeight="1">
      <c r="A145" s="164"/>
      <c r="B145" s="165"/>
      <c r="C145" s="165"/>
      <c r="D145" s="165"/>
      <c r="E145" s="165"/>
      <c r="F145" s="165"/>
      <c r="G145" s="165"/>
      <c r="H145" s="165"/>
      <c r="I145" s="166"/>
      <c r="J145" s="167"/>
      <c r="K145" s="168"/>
      <c r="L145" s="169"/>
      <c r="M145" s="170"/>
      <c r="N145" s="83"/>
      <c r="O145" s="171"/>
      <c r="P145" s="172"/>
      <c r="S145" s="140"/>
    </row>
    <row r="146" spans="1:19" ht="24" customHeight="1">
      <c r="A146" s="164"/>
      <c r="B146" s="165"/>
      <c r="C146" s="165"/>
      <c r="D146" s="165"/>
      <c r="E146" s="165"/>
      <c r="F146" s="165"/>
      <c r="G146" s="165"/>
      <c r="H146" s="165"/>
      <c r="I146" s="166"/>
      <c r="J146" s="167"/>
      <c r="K146" s="168"/>
      <c r="L146" s="169"/>
      <c r="M146" s="170"/>
      <c r="N146" s="83"/>
      <c r="O146" s="171"/>
      <c r="P146" s="172"/>
      <c r="S146" s="140"/>
    </row>
    <row r="147" spans="1:19" ht="24" customHeight="1">
      <c r="A147" s="164"/>
      <c r="B147" s="165"/>
      <c r="C147" s="165"/>
      <c r="D147" s="165"/>
      <c r="E147" s="165"/>
      <c r="F147" s="165"/>
      <c r="G147" s="165"/>
      <c r="H147" s="165"/>
      <c r="I147" s="166"/>
      <c r="J147" s="167"/>
      <c r="K147" s="168"/>
      <c r="L147" s="169"/>
      <c r="M147" s="170"/>
      <c r="N147" s="83"/>
      <c r="O147" s="171"/>
      <c r="P147" s="172"/>
      <c r="S147" s="140"/>
    </row>
    <row r="148" spans="1:19" ht="24" customHeight="1">
      <c r="A148" s="164"/>
      <c r="B148" s="165"/>
      <c r="C148" s="165"/>
      <c r="D148" s="165"/>
      <c r="E148" s="165"/>
      <c r="F148" s="165"/>
      <c r="G148" s="165"/>
      <c r="H148" s="165"/>
      <c r="I148" s="166"/>
      <c r="J148" s="167"/>
      <c r="K148" s="168"/>
      <c r="L148" s="169"/>
      <c r="M148" s="170"/>
      <c r="N148" s="83"/>
      <c r="O148" s="171"/>
      <c r="P148" s="172"/>
      <c r="S148" s="140"/>
    </row>
    <row r="149" spans="1:19" ht="24" customHeight="1">
      <c r="A149" s="164"/>
      <c r="B149" s="165"/>
      <c r="C149" s="165"/>
      <c r="D149" s="165"/>
      <c r="E149" s="165"/>
      <c r="F149" s="165"/>
      <c r="G149" s="165"/>
      <c r="H149" s="165"/>
      <c r="I149" s="166"/>
      <c r="J149" s="167"/>
      <c r="K149" s="168"/>
      <c r="L149" s="169"/>
      <c r="M149" s="170"/>
      <c r="N149" s="83"/>
      <c r="O149" s="171"/>
      <c r="P149" s="172"/>
      <c r="S149" s="140"/>
    </row>
    <row r="150" spans="1:19" ht="24" customHeight="1">
      <c r="A150" s="164"/>
      <c r="B150" s="165"/>
      <c r="C150" s="165"/>
      <c r="D150" s="165"/>
      <c r="E150" s="165"/>
      <c r="F150" s="165"/>
      <c r="G150" s="165"/>
      <c r="H150" s="165"/>
      <c r="I150" s="166"/>
      <c r="J150" s="167"/>
      <c r="K150" s="168"/>
      <c r="L150" s="169"/>
      <c r="M150" s="170"/>
      <c r="N150" s="83"/>
      <c r="O150" s="171"/>
      <c r="P150" s="172"/>
      <c r="S150" s="140"/>
    </row>
    <row r="151" spans="1:19" ht="24" customHeight="1">
      <c r="A151" s="164"/>
      <c r="B151" s="165"/>
      <c r="C151" s="165"/>
      <c r="D151" s="165"/>
      <c r="E151" s="165"/>
      <c r="F151" s="165"/>
      <c r="G151" s="165"/>
      <c r="H151" s="165"/>
      <c r="I151" s="166"/>
      <c r="J151" s="167"/>
      <c r="K151" s="168"/>
      <c r="L151" s="169"/>
      <c r="M151" s="170"/>
      <c r="N151" s="83"/>
      <c r="O151" s="171"/>
      <c r="P151" s="172"/>
      <c r="S151" s="140"/>
    </row>
    <row r="152" spans="1:19" ht="24" customHeight="1">
      <c r="A152" s="164"/>
      <c r="B152" s="165"/>
      <c r="C152" s="165"/>
      <c r="D152" s="165"/>
      <c r="E152" s="165"/>
      <c r="F152" s="165"/>
      <c r="G152" s="165"/>
      <c r="H152" s="165"/>
      <c r="I152" s="166"/>
      <c r="J152" s="167"/>
      <c r="K152" s="168"/>
      <c r="L152" s="169"/>
      <c r="M152" s="170"/>
      <c r="N152" s="83"/>
      <c r="O152" s="171"/>
      <c r="P152" s="172"/>
      <c r="S152" s="140"/>
    </row>
    <row r="153" spans="1:19" ht="24" customHeight="1">
      <c r="A153" s="164"/>
      <c r="B153" s="165"/>
      <c r="C153" s="165"/>
      <c r="D153" s="165"/>
      <c r="E153" s="165"/>
      <c r="F153" s="165"/>
      <c r="G153" s="165"/>
      <c r="H153" s="165"/>
      <c r="I153" s="166"/>
      <c r="J153" s="167"/>
      <c r="K153" s="168"/>
      <c r="L153" s="169"/>
      <c r="M153" s="170"/>
      <c r="N153" s="83"/>
      <c r="O153" s="171"/>
      <c r="P153" s="172"/>
      <c r="S153" s="140"/>
    </row>
    <row r="154" spans="1:19" ht="24" customHeight="1">
      <c r="A154" s="164"/>
      <c r="B154" s="165"/>
      <c r="C154" s="165"/>
      <c r="D154" s="165"/>
      <c r="E154" s="165"/>
      <c r="F154" s="165"/>
      <c r="G154" s="165"/>
      <c r="H154" s="165"/>
      <c r="I154" s="166"/>
      <c r="J154" s="167"/>
      <c r="K154" s="168"/>
      <c r="L154" s="169"/>
      <c r="M154" s="170"/>
      <c r="N154" s="83"/>
      <c r="O154" s="171"/>
      <c r="P154" s="172"/>
      <c r="S154" s="140"/>
    </row>
    <row r="155" spans="1:19" ht="24" customHeight="1">
      <c r="A155" s="164"/>
      <c r="B155" s="165"/>
      <c r="C155" s="165"/>
      <c r="D155" s="165"/>
      <c r="E155" s="165"/>
      <c r="F155" s="165"/>
      <c r="G155" s="165"/>
      <c r="H155" s="165"/>
      <c r="I155" s="166"/>
      <c r="J155" s="167"/>
      <c r="K155" s="168"/>
      <c r="L155" s="169"/>
      <c r="M155" s="170"/>
      <c r="N155" s="83"/>
      <c r="O155" s="171"/>
      <c r="P155" s="172"/>
      <c r="S155" s="140"/>
    </row>
    <row r="156" spans="1:19" ht="24" customHeight="1">
      <c r="A156" s="164"/>
      <c r="B156" s="165"/>
      <c r="C156" s="165"/>
      <c r="D156" s="165"/>
      <c r="E156" s="165"/>
      <c r="F156" s="165"/>
      <c r="G156" s="165"/>
      <c r="H156" s="165"/>
      <c r="I156" s="166"/>
      <c r="J156" s="167"/>
      <c r="K156" s="168"/>
      <c r="L156" s="169"/>
      <c r="M156" s="170"/>
      <c r="N156" s="83"/>
      <c r="O156" s="171"/>
      <c r="P156" s="172"/>
      <c r="S156" s="140"/>
    </row>
    <row r="157" spans="1:19" ht="24" customHeight="1">
      <c r="A157" s="164"/>
      <c r="B157" s="165"/>
      <c r="C157" s="165"/>
      <c r="D157" s="165"/>
      <c r="E157" s="165"/>
      <c r="F157" s="165"/>
      <c r="G157" s="165"/>
      <c r="H157" s="165"/>
      <c r="I157" s="166"/>
      <c r="J157" s="167"/>
      <c r="K157" s="168"/>
      <c r="L157" s="169"/>
      <c r="M157" s="170"/>
      <c r="N157" s="83"/>
      <c r="O157" s="171"/>
      <c r="P157" s="172"/>
      <c r="S157" s="140"/>
    </row>
    <row r="158" spans="1:19" ht="24" customHeight="1">
      <c r="A158" s="164"/>
      <c r="B158" s="165"/>
      <c r="C158" s="165"/>
      <c r="D158" s="165"/>
      <c r="E158" s="165"/>
      <c r="F158" s="165"/>
      <c r="G158" s="165"/>
      <c r="H158" s="165"/>
      <c r="I158" s="166"/>
      <c r="J158" s="167"/>
      <c r="K158" s="168"/>
      <c r="L158" s="169"/>
      <c r="M158" s="170"/>
      <c r="N158" s="83"/>
      <c r="O158" s="171"/>
      <c r="P158" s="172"/>
      <c r="S158" s="140"/>
    </row>
    <row r="159" spans="1:19" ht="24" customHeight="1">
      <c r="A159" s="164"/>
      <c r="B159" s="165"/>
      <c r="C159" s="165"/>
      <c r="D159" s="165"/>
      <c r="E159" s="165"/>
      <c r="F159" s="165"/>
      <c r="G159" s="165"/>
      <c r="H159" s="165"/>
      <c r="I159" s="166"/>
      <c r="J159" s="167"/>
      <c r="K159" s="168"/>
      <c r="L159" s="169"/>
      <c r="M159" s="170"/>
      <c r="N159" s="83"/>
      <c r="O159" s="171"/>
      <c r="P159" s="172"/>
      <c r="S159" s="140"/>
    </row>
    <row r="160" spans="1:19" ht="24" customHeight="1">
      <c r="A160" s="164"/>
      <c r="B160" s="165"/>
      <c r="C160" s="165"/>
      <c r="D160" s="165"/>
      <c r="E160" s="165"/>
      <c r="F160" s="165"/>
      <c r="G160" s="165"/>
      <c r="H160" s="165"/>
      <c r="I160" s="166"/>
      <c r="J160" s="167"/>
      <c r="K160" s="168"/>
      <c r="L160" s="169"/>
      <c r="M160" s="170"/>
      <c r="N160" s="83"/>
      <c r="O160" s="171"/>
      <c r="P160" s="172"/>
      <c r="S160" s="140"/>
    </row>
    <row r="161" spans="1:19" ht="24" customHeight="1">
      <c r="A161" s="164"/>
      <c r="B161" s="165"/>
      <c r="C161" s="165"/>
      <c r="D161" s="165"/>
      <c r="E161" s="165"/>
      <c r="F161" s="165"/>
      <c r="G161" s="165"/>
      <c r="H161" s="165"/>
      <c r="I161" s="166"/>
      <c r="J161" s="167"/>
      <c r="K161" s="168"/>
      <c r="L161" s="169"/>
      <c r="M161" s="170"/>
      <c r="N161" s="83"/>
      <c r="O161" s="171"/>
      <c r="P161" s="172"/>
      <c r="S161" s="140"/>
    </row>
    <row r="162" spans="1:19" ht="24" customHeight="1">
      <c r="A162" s="164"/>
      <c r="B162" s="165"/>
      <c r="C162" s="165"/>
      <c r="D162" s="165"/>
      <c r="E162" s="165"/>
      <c r="F162" s="165"/>
      <c r="G162" s="165"/>
      <c r="H162" s="165"/>
      <c r="I162" s="166"/>
      <c r="J162" s="167"/>
      <c r="K162" s="168"/>
      <c r="L162" s="169"/>
      <c r="M162" s="170"/>
      <c r="N162" s="83"/>
      <c r="O162" s="171"/>
      <c r="P162" s="172"/>
      <c r="S162" s="140"/>
    </row>
    <row r="163" spans="1:19" ht="24" customHeight="1">
      <c r="A163" s="164"/>
      <c r="B163" s="165"/>
      <c r="C163" s="165"/>
      <c r="D163" s="165"/>
      <c r="E163" s="165"/>
      <c r="F163" s="165"/>
      <c r="G163" s="165"/>
      <c r="H163" s="165"/>
      <c r="I163" s="166"/>
      <c r="J163" s="167"/>
      <c r="K163" s="168"/>
      <c r="L163" s="169"/>
      <c r="M163" s="170"/>
      <c r="N163" s="83"/>
      <c r="O163" s="171"/>
      <c r="P163" s="172"/>
      <c r="S163" s="140"/>
    </row>
    <row r="164" spans="1:19" ht="24" customHeight="1">
      <c r="A164" s="164"/>
      <c r="B164" s="165"/>
      <c r="C164" s="165"/>
      <c r="D164" s="165"/>
      <c r="E164" s="165"/>
      <c r="F164" s="165"/>
      <c r="G164" s="165"/>
      <c r="H164" s="165"/>
      <c r="I164" s="166"/>
      <c r="J164" s="167"/>
      <c r="K164" s="168"/>
      <c r="L164" s="169"/>
      <c r="M164" s="170"/>
      <c r="N164" s="83"/>
      <c r="O164" s="171"/>
      <c r="P164" s="172"/>
      <c r="S164" s="140"/>
    </row>
    <row r="165" spans="1:19" ht="24" customHeight="1">
      <c r="A165" s="164"/>
      <c r="B165" s="165"/>
      <c r="C165" s="165"/>
      <c r="D165" s="165"/>
      <c r="E165" s="165"/>
      <c r="F165" s="165"/>
      <c r="G165" s="165"/>
      <c r="H165" s="165"/>
      <c r="I165" s="166"/>
      <c r="J165" s="167"/>
      <c r="K165" s="168"/>
      <c r="L165" s="169"/>
      <c r="M165" s="170"/>
      <c r="N165" s="83"/>
      <c r="O165" s="171"/>
      <c r="P165" s="172"/>
      <c r="S165" s="140"/>
    </row>
    <row r="166" spans="1:19" ht="24" customHeight="1">
      <c r="A166" s="164"/>
      <c r="B166" s="165"/>
      <c r="C166" s="165"/>
      <c r="D166" s="165"/>
      <c r="E166" s="165"/>
      <c r="F166" s="165"/>
      <c r="G166" s="165"/>
      <c r="H166" s="165"/>
      <c r="I166" s="166"/>
      <c r="J166" s="167"/>
      <c r="K166" s="168"/>
      <c r="L166" s="169"/>
      <c r="M166" s="170"/>
      <c r="N166" s="83"/>
      <c r="O166" s="171"/>
      <c r="P166" s="172"/>
      <c r="S166" s="140"/>
    </row>
    <row r="167" spans="1:19" ht="24" customHeight="1">
      <c r="A167" s="164"/>
      <c r="B167" s="165"/>
      <c r="C167" s="165"/>
      <c r="D167" s="165"/>
      <c r="E167" s="165"/>
      <c r="F167" s="165"/>
      <c r="G167" s="165"/>
      <c r="H167" s="165"/>
      <c r="I167" s="166"/>
      <c r="J167" s="167"/>
      <c r="K167" s="168"/>
      <c r="L167" s="169"/>
      <c r="M167" s="170"/>
      <c r="N167" s="83"/>
      <c r="O167" s="171"/>
      <c r="P167" s="172"/>
      <c r="S167" s="140"/>
    </row>
    <row r="168" spans="1:19" ht="24" customHeight="1">
      <c r="A168" s="164"/>
      <c r="B168" s="165"/>
      <c r="C168" s="165"/>
      <c r="D168" s="165"/>
      <c r="E168" s="165"/>
      <c r="F168" s="165"/>
      <c r="G168" s="165"/>
      <c r="H168" s="165"/>
      <c r="I168" s="166"/>
      <c r="J168" s="167"/>
      <c r="K168" s="168"/>
      <c r="L168" s="169"/>
      <c r="M168" s="170"/>
      <c r="N168" s="83"/>
      <c r="O168" s="171"/>
      <c r="P168" s="172"/>
      <c r="S168" s="140"/>
    </row>
    <row r="169" spans="1:19" ht="24" customHeight="1">
      <c r="A169" s="164"/>
      <c r="B169" s="165"/>
      <c r="C169" s="165"/>
      <c r="D169" s="165"/>
      <c r="E169" s="165"/>
      <c r="F169" s="165"/>
      <c r="G169" s="165"/>
      <c r="H169" s="165"/>
      <c r="I169" s="166"/>
      <c r="J169" s="167"/>
      <c r="K169" s="168"/>
      <c r="L169" s="169"/>
      <c r="M169" s="170"/>
      <c r="N169" s="83"/>
      <c r="O169" s="171"/>
      <c r="P169" s="172"/>
      <c r="S169" s="140"/>
    </row>
    <row r="170" spans="1:19" ht="24" customHeight="1">
      <c r="A170" s="164"/>
      <c r="B170" s="165"/>
      <c r="C170" s="165"/>
      <c r="D170" s="165"/>
      <c r="E170" s="165"/>
      <c r="F170" s="165"/>
      <c r="G170" s="165"/>
      <c r="H170" s="165"/>
      <c r="I170" s="166"/>
      <c r="J170" s="167"/>
      <c r="K170" s="168"/>
      <c r="L170" s="169"/>
      <c r="M170" s="170"/>
      <c r="N170" s="83"/>
      <c r="O170" s="171"/>
      <c r="P170" s="172"/>
      <c r="S170" s="140"/>
    </row>
    <row r="171" spans="1:19" ht="24" customHeight="1">
      <c r="A171" s="164"/>
      <c r="B171" s="165"/>
      <c r="C171" s="165"/>
      <c r="D171" s="165"/>
      <c r="E171" s="165"/>
      <c r="F171" s="165"/>
      <c r="G171" s="165"/>
      <c r="H171" s="165"/>
      <c r="I171" s="166"/>
      <c r="J171" s="167"/>
      <c r="K171" s="168"/>
      <c r="L171" s="169"/>
      <c r="M171" s="170"/>
      <c r="N171" s="83"/>
      <c r="O171" s="171"/>
      <c r="P171" s="172"/>
      <c r="S171" s="140"/>
    </row>
    <row r="172" spans="1:19" ht="24" customHeight="1">
      <c r="A172" s="164"/>
      <c r="B172" s="165"/>
      <c r="C172" s="165"/>
      <c r="D172" s="165"/>
      <c r="E172" s="165"/>
      <c r="F172" s="165"/>
      <c r="G172" s="165"/>
      <c r="H172" s="165"/>
      <c r="I172" s="166"/>
      <c r="J172" s="167"/>
      <c r="K172" s="168"/>
      <c r="L172" s="169"/>
      <c r="M172" s="170"/>
      <c r="N172" s="83"/>
      <c r="O172" s="171"/>
      <c r="P172" s="172"/>
      <c r="S172" s="140"/>
    </row>
    <row r="173" spans="1:19" ht="24" customHeight="1">
      <c r="A173" s="164"/>
      <c r="B173" s="165"/>
      <c r="C173" s="165"/>
      <c r="D173" s="165"/>
      <c r="E173" s="165"/>
      <c r="F173" s="165"/>
      <c r="G173" s="165"/>
      <c r="H173" s="165"/>
      <c r="I173" s="166"/>
      <c r="J173" s="167"/>
      <c r="K173" s="168"/>
      <c r="L173" s="169"/>
      <c r="M173" s="170"/>
      <c r="N173" s="83"/>
      <c r="O173" s="171"/>
      <c r="P173" s="172"/>
      <c r="S173" s="140"/>
    </row>
    <row r="174" spans="1:19" ht="24" customHeight="1">
      <c r="A174" s="164"/>
      <c r="B174" s="165"/>
      <c r="C174" s="165"/>
      <c r="D174" s="165"/>
      <c r="E174" s="165"/>
      <c r="F174" s="165"/>
      <c r="G174" s="165"/>
      <c r="H174" s="165"/>
      <c r="I174" s="166"/>
      <c r="J174" s="167"/>
      <c r="K174" s="168"/>
      <c r="L174" s="169"/>
      <c r="M174" s="170"/>
      <c r="N174" s="83"/>
      <c r="O174" s="171"/>
      <c r="P174" s="172"/>
      <c r="S174" s="140"/>
    </row>
    <row r="175" spans="1:19" ht="24" customHeight="1">
      <c r="A175" s="164"/>
      <c r="B175" s="165"/>
      <c r="C175" s="165"/>
      <c r="D175" s="165"/>
      <c r="E175" s="165"/>
      <c r="F175" s="165"/>
      <c r="G175" s="165"/>
      <c r="H175" s="165"/>
      <c r="I175" s="166"/>
      <c r="J175" s="167"/>
      <c r="K175" s="168"/>
      <c r="L175" s="169"/>
      <c r="M175" s="170"/>
      <c r="N175" s="83"/>
      <c r="O175" s="171"/>
      <c r="P175" s="172"/>
      <c r="S175" s="140"/>
    </row>
    <row r="176" spans="1:19" ht="24" customHeight="1">
      <c r="A176" s="164"/>
      <c r="B176" s="165"/>
      <c r="C176" s="165"/>
      <c r="D176" s="165"/>
      <c r="E176" s="165"/>
      <c r="F176" s="165"/>
      <c r="G176" s="165"/>
      <c r="H176" s="165"/>
      <c r="I176" s="166"/>
      <c r="J176" s="167"/>
      <c r="K176" s="168"/>
      <c r="L176" s="169"/>
      <c r="M176" s="170"/>
      <c r="N176" s="83"/>
      <c r="O176" s="171"/>
      <c r="P176" s="172"/>
      <c r="S176" s="140"/>
    </row>
    <row r="177" spans="1:19" ht="24" customHeight="1">
      <c r="A177" s="164"/>
      <c r="B177" s="165"/>
      <c r="C177" s="165"/>
      <c r="D177" s="165"/>
      <c r="E177" s="165"/>
      <c r="F177" s="165"/>
      <c r="G177" s="165"/>
      <c r="H177" s="165"/>
      <c r="I177" s="166"/>
      <c r="J177" s="167"/>
      <c r="K177" s="168"/>
      <c r="L177" s="169"/>
      <c r="M177" s="170"/>
      <c r="N177" s="83"/>
      <c r="O177" s="171"/>
      <c r="P177" s="172"/>
      <c r="S177" s="140"/>
    </row>
    <row r="178" spans="1:19" ht="24" customHeight="1">
      <c r="A178" s="164"/>
      <c r="B178" s="165"/>
      <c r="C178" s="165"/>
      <c r="D178" s="165"/>
      <c r="E178" s="165"/>
      <c r="F178" s="165"/>
      <c r="G178" s="165"/>
      <c r="H178" s="165"/>
      <c r="I178" s="166"/>
      <c r="J178" s="167"/>
      <c r="K178" s="168"/>
      <c r="L178" s="169"/>
      <c r="M178" s="170"/>
      <c r="N178" s="83"/>
      <c r="O178" s="171"/>
      <c r="P178" s="172"/>
      <c r="S178" s="140"/>
    </row>
    <row r="179" spans="1:19" ht="24" customHeight="1">
      <c r="A179" s="164"/>
      <c r="B179" s="165"/>
      <c r="C179" s="165"/>
      <c r="D179" s="165"/>
      <c r="E179" s="165"/>
      <c r="F179" s="165"/>
      <c r="G179" s="165"/>
      <c r="H179" s="165"/>
      <c r="I179" s="166"/>
      <c r="J179" s="167"/>
      <c r="K179" s="168"/>
      <c r="L179" s="169"/>
      <c r="M179" s="170"/>
      <c r="N179" s="83"/>
      <c r="O179" s="171"/>
      <c r="P179" s="172"/>
      <c r="S179" s="140"/>
    </row>
    <row r="180" spans="1:19" ht="24" customHeight="1">
      <c r="A180" s="164"/>
      <c r="B180" s="165"/>
      <c r="C180" s="165"/>
      <c r="D180" s="165"/>
      <c r="E180" s="165"/>
      <c r="F180" s="165"/>
      <c r="G180" s="165"/>
      <c r="H180" s="165"/>
      <c r="I180" s="166"/>
      <c r="J180" s="167"/>
      <c r="K180" s="168"/>
      <c r="L180" s="169"/>
      <c r="M180" s="170"/>
      <c r="N180" s="83"/>
      <c r="O180" s="171"/>
      <c r="P180" s="172"/>
      <c r="S180" s="140"/>
    </row>
    <row r="181" spans="1:19" ht="24" customHeight="1">
      <c r="A181" s="164"/>
      <c r="B181" s="165"/>
      <c r="C181" s="165"/>
      <c r="D181" s="165"/>
      <c r="E181" s="165"/>
      <c r="F181" s="165"/>
      <c r="G181" s="165"/>
      <c r="H181" s="165"/>
      <c r="I181" s="166"/>
      <c r="J181" s="167"/>
      <c r="K181" s="168"/>
      <c r="L181" s="169"/>
      <c r="M181" s="170"/>
      <c r="N181" s="83"/>
      <c r="O181" s="171"/>
      <c r="P181" s="172"/>
      <c r="S181" s="140"/>
    </row>
    <row r="182" spans="1:19" ht="24" customHeight="1">
      <c r="A182" s="164"/>
      <c r="B182" s="165"/>
      <c r="C182" s="165"/>
      <c r="D182" s="165"/>
      <c r="E182" s="165"/>
      <c r="F182" s="165"/>
      <c r="G182" s="165"/>
      <c r="H182" s="165"/>
      <c r="I182" s="166"/>
      <c r="J182" s="167"/>
      <c r="K182" s="168"/>
      <c r="L182" s="169"/>
      <c r="M182" s="170"/>
      <c r="N182" s="83"/>
      <c r="O182" s="171"/>
      <c r="P182" s="172"/>
      <c r="S182" s="140"/>
    </row>
    <row r="183" spans="1:19" ht="24" customHeight="1">
      <c r="A183" s="164"/>
      <c r="B183" s="165"/>
      <c r="C183" s="165"/>
      <c r="D183" s="165"/>
      <c r="E183" s="165"/>
      <c r="F183" s="165"/>
      <c r="G183" s="165"/>
      <c r="H183" s="165"/>
      <c r="I183" s="166"/>
      <c r="J183" s="167"/>
      <c r="K183" s="168"/>
      <c r="L183" s="169"/>
      <c r="M183" s="170"/>
      <c r="N183" s="83"/>
      <c r="O183" s="171"/>
      <c r="P183" s="172"/>
      <c r="S183" s="140"/>
    </row>
    <row r="184" spans="1:19" ht="24" customHeight="1">
      <c r="A184" s="164"/>
      <c r="B184" s="165"/>
      <c r="C184" s="165"/>
      <c r="D184" s="165"/>
      <c r="E184" s="165"/>
      <c r="F184" s="165"/>
      <c r="G184" s="165"/>
      <c r="H184" s="165"/>
      <c r="I184" s="166"/>
      <c r="J184" s="167"/>
      <c r="K184" s="168"/>
      <c r="L184" s="169"/>
      <c r="M184" s="170"/>
      <c r="N184" s="83"/>
      <c r="O184" s="171"/>
      <c r="P184" s="172"/>
      <c r="S184" s="140"/>
    </row>
    <row r="185" spans="1:19" ht="24" customHeight="1">
      <c r="A185" s="164"/>
      <c r="B185" s="165"/>
      <c r="C185" s="165"/>
      <c r="D185" s="165"/>
      <c r="E185" s="165"/>
      <c r="F185" s="165"/>
      <c r="G185" s="165"/>
      <c r="H185" s="165"/>
      <c r="I185" s="166"/>
      <c r="J185" s="167"/>
      <c r="K185" s="168"/>
      <c r="L185" s="169"/>
      <c r="M185" s="170"/>
      <c r="N185" s="83"/>
      <c r="O185" s="171"/>
      <c r="P185" s="172"/>
      <c r="S185" s="140"/>
    </row>
    <row r="186" spans="1:19" ht="24" customHeight="1">
      <c r="A186" s="164"/>
      <c r="B186" s="165"/>
      <c r="C186" s="165"/>
      <c r="D186" s="165"/>
      <c r="E186" s="165"/>
      <c r="F186" s="165"/>
      <c r="G186" s="165"/>
      <c r="H186" s="165"/>
      <c r="I186" s="166"/>
      <c r="J186" s="167"/>
      <c r="K186" s="168"/>
      <c r="L186" s="169"/>
      <c r="M186" s="170"/>
      <c r="N186" s="83"/>
      <c r="O186" s="171"/>
      <c r="P186" s="172"/>
      <c r="S186" s="140"/>
    </row>
    <row r="187" spans="1:19" ht="24" customHeight="1">
      <c r="A187" s="164"/>
      <c r="B187" s="165"/>
      <c r="C187" s="165"/>
      <c r="D187" s="165"/>
      <c r="E187" s="165"/>
      <c r="F187" s="165"/>
      <c r="G187" s="165"/>
      <c r="H187" s="165"/>
      <c r="I187" s="166"/>
      <c r="J187" s="167"/>
      <c r="K187" s="168"/>
      <c r="L187" s="169"/>
      <c r="M187" s="170"/>
      <c r="N187" s="83"/>
      <c r="O187" s="171"/>
      <c r="P187" s="172"/>
      <c r="S187" s="140"/>
    </row>
    <row r="188" spans="1:19" ht="24" customHeight="1">
      <c r="A188" s="164"/>
      <c r="B188" s="165"/>
      <c r="C188" s="165"/>
      <c r="D188" s="165"/>
      <c r="E188" s="165"/>
      <c r="F188" s="165"/>
      <c r="G188" s="165"/>
      <c r="H188" s="165"/>
      <c r="I188" s="166"/>
      <c r="J188" s="167"/>
      <c r="K188" s="168"/>
      <c r="L188" s="169"/>
      <c r="M188" s="170"/>
      <c r="N188" s="83"/>
      <c r="O188" s="171"/>
      <c r="P188" s="172"/>
      <c r="S188" s="140"/>
    </row>
    <row r="189" spans="1:19" ht="24" customHeight="1">
      <c r="A189" s="164"/>
      <c r="B189" s="165"/>
      <c r="C189" s="165"/>
      <c r="D189" s="165"/>
      <c r="E189" s="165"/>
      <c r="F189" s="165"/>
      <c r="G189" s="165"/>
      <c r="H189" s="165"/>
      <c r="I189" s="166"/>
      <c r="J189" s="167"/>
      <c r="K189" s="168"/>
      <c r="L189" s="169"/>
      <c r="M189" s="170"/>
      <c r="N189" s="83"/>
      <c r="O189" s="171"/>
      <c r="P189" s="172"/>
      <c r="S189" s="140"/>
    </row>
    <row r="190" spans="1:19" ht="24" customHeight="1">
      <c r="A190" s="164"/>
      <c r="B190" s="165"/>
      <c r="C190" s="165"/>
      <c r="D190" s="165"/>
      <c r="E190" s="165"/>
      <c r="F190" s="165"/>
      <c r="G190" s="165"/>
      <c r="H190" s="165"/>
      <c r="I190" s="166"/>
      <c r="J190" s="167"/>
      <c r="K190" s="168"/>
      <c r="L190" s="169"/>
      <c r="M190" s="170"/>
      <c r="N190" s="83"/>
      <c r="O190" s="171"/>
      <c r="P190" s="172"/>
      <c r="S190" s="140"/>
    </row>
    <row r="191" spans="1:19" ht="24" customHeight="1">
      <c r="A191" s="164"/>
      <c r="B191" s="165"/>
      <c r="C191" s="165"/>
      <c r="D191" s="165"/>
      <c r="E191" s="165"/>
      <c r="F191" s="165"/>
      <c r="G191" s="165"/>
      <c r="H191" s="165"/>
      <c r="I191" s="166"/>
      <c r="J191" s="167"/>
      <c r="K191" s="168"/>
      <c r="L191" s="169"/>
      <c r="M191" s="170"/>
      <c r="N191" s="83"/>
      <c r="O191" s="171"/>
      <c r="P191" s="172"/>
      <c r="S191" s="140"/>
    </row>
    <row r="192" spans="1:19" ht="24" customHeight="1">
      <c r="A192" s="164"/>
      <c r="B192" s="165"/>
      <c r="C192" s="165"/>
      <c r="D192" s="165"/>
      <c r="E192" s="165"/>
      <c r="F192" s="165"/>
      <c r="G192" s="165"/>
      <c r="H192" s="165"/>
      <c r="I192" s="166"/>
      <c r="J192" s="167"/>
      <c r="K192" s="168"/>
      <c r="L192" s="169"/>
      <c r="M192" s="170"/>
      <c r="N192" s="83"/>
      <c r="O192" s="171"/>
      <c r="P192" s="172"/>
      <c r="S192" s="140"/>
    </row>
    <row r="193" spans="1:16" ht="24" customHeight="1">
      <c r="A193" s="173"/>
      <c r="B193" s="151"/>
      <c r="C193" s="174"/>
      <c r="D193" s="174"/>
      <c r="E193" s="173"/>
      <c r="F193" s="175"/>
      <c r="G193" s="176"/>
      <c r="H193" s="177"/>
      <c r="I193" s="178"/>
      <c r="J193" s="175"/>
      <c r="K193" s="83"/>
      <c r="L193" s="179"/>
      <c r="M193" s="180"/>
      <c r="N193" s="181"/>
      <c r="O193" s="171"/>
      <c r="P193" s="172"/>
    </row>
    <row r="194" spans="1:16" ht="24" customHeight="1">
      <c r="A194" s="173"/>
      <c r="B194" s="151"/>
      <c r="C194" s="174"/>
      <c r="D194" s="174"/>
      <c r="E194" s="173"/>
      <c r="F194" s="175"/>
      <c r="G194" s="176"/>
      <c r="H194" s="177"/>
      <c r="I194" s="178"/>
      <c r="J194" s="175"/>
      <c r="K194" s="83"/>
      <c r="L194" s="179"/>
      <c r="M194" s="180"/>
      <c r="N194" s="181"/>
      <c r="O194" s="171"/>
      <c r="P194" s="172"/>
    </row>
    <row r="195" spans="1:16" ht="24" customHeight="1">
      <c r="A195" s="173"/>
      <c r="B195" s="151"/>
      <c r="C195" s="174"/>
      <c r="D195" s="174"/>
      <c r="E195" s="173"/>
      <c r="F195" s="169"/>
      <c r="G195" s="182"/>
      <c r="H195" s="177"/>
      <c r="I195" s="178"/>
      <c r="J195" s="175"/>
      <c r="K195" s="151"/>
      <c r="L195" s="179"/>
      <c r="M195" s="180"/>
      <c r="N195" s="181"/>
      <c r="O195" s="171"/>
      <c r="P195" s="172"/>
    </row>
    <row r="196" spans="1:16" ht="24" customHeight="1">
      <c r="A196" s="173"/>
      <c r="B196" s="151"/>
      <c r="C196" s="174"/>
      <c r="D196" s="174"/>
      <c r="E196" s="173"/>
      <c r="F196" s="169"/>
      <c r="G196" s="182"/>
      <c r="H196" s="177"/>
      <c r="I196" s="178"/>
      <c r="J196" s="183"/>
      <c r="K196" s="183"/>
      <c r="L196" s="179"/>
      <c r="M196" s="180"/>
      <c r="N196" s="181"/>
      <c r="O196" s="171"/>
      <c r="P196" s="172"/>
    </row>
  </sheetData>
  <mergeCells count="387">
    <mergeCell ref="M121:M124"/>
    <mergeCell ref="N121:N124"/>
    <mergeCell ref="B125:H125"/>
    <mergeCell ref="O105:O108"/>
    <mergeCell ref="P105:P108"/>
    <mergeCell ref="O109:O112"/>
    <mergeCell ref="P109:P112"/>
    <mergeCell ref="O113:O116"/>
    <mergeCell ref="P113:P116"/>
    <mergeCell ref="O117:O120"/>
    <mergeCell ref="P117:P120"/>
    <mergeCell ref="O121:O124"/>
    <mergeCell ref="P121:P124"/>
    <mergeCell ref="A121:A124"/>
    <mergeCell ref="C121:C124"/>
    <mergeCell ref="D121:D124"/>
    <mergeCell ref="E121:E124"/>
    <mergeCell ref="F121:F124"/>
    <mergeCell ref="G121:G124"/>
    <mergeCell ref="H121:H124"/>
    <mergeCell ref="I121:I124"/>
    <mergeCell ref="L121:L124"/>
    <mergeCell ref="M113:M116"/>
    <mergeCell ref="N113:N116"/>
    <mergeCell ref="A117:A120"/>
    <mergeCell ref="C117:C120"/>
    <mergeCell ref="D117:D120"/>
    <mergeCell ref="E117:E120"/>
    <mergeCell ref="H117:H120"/>
    <mergeCell ref="I117:I120"/>
    <mergeCell ref="L117:L120"/>
    <mergeCell ref="M117:M120"/>
    <mergeCell ref="N117:N120"/>
    <mergeCell ref="F119:F120"/>
    <mergeCell ref="G119:G120"/>
    <mergeCell ref="A113:A116"/>
    <mergeCell ref="C113:C116"/>
    <mergeCell ref="D113:D116"/>
    <mergeCell ref="E113:E116"/>
    <mergeCell ref="F113:F114"/>
    <mergeCell ref="G113:G114"/>
    <mergeCell ref="H113:H116"/>
    <mergeCell ref="I113:I116"/>
    <mergeCell ref="L113:L116"/>
    <mergeCell ref="A109:A112"/>
    <mergeCell ref="C109:C112"/>
    <mergeCell ref="D109:D112"/>
    <mergeCell ref="E109:E112"/>
    <mergeCell ref="H109:H112"/>
    <mergeCell ref="I109:I112"/>
    <mergeCell ref="L109:L112"/>
    <mergeCell ref="M109:M112"/>
    <mergeCell ref="N109:N112"/>
    <mergeCell ref="F110:F111"/>
    <mergeCell ref="G110:G111"/>
    <mergeCell ref="A105:A108"/>
    <mergeCell ref="C105:C108"/>
    <mergeCell ref="D105:D108"/>
    <mergeCell ref="E105:E108"/>
    <mergeCell ref="H105:H108"/>
    <mergeCell ref="I105:I108"/>
    <mergeCell ref="L105:L108"/>
    <mergeCell ref="M105:M108"/>
    <mergeCell ref="N105:N108"/>
    <mergeCell ref="F107:F108"/>
    <mergeCell ref="G107:G108"/>
    <mergeCell ref="P24:P27"/>
    <mergeCell ref="O28:O31"/>
    <mergeCell ref="P28:P31"/>
    <mergeCell ref="O32:O35"/>
    <mergeCell ref="P32:P35"/>
    <mergeCell ref="L32:L35"/>
    <mergeCell ref="M32:M35"/>
    <mergeCell ref="N32:N35"/>
    <mergeCell ref="N24:N27"/>
    <mergeCell ref="N28:N31"/>
    <mergeCell ref="A32:A35"/>
    <mergeCell ref="C32:C35"/>
    <mergeCell ref="D32:D35"/>
    <mergeCell ref="E32:E35"/>
    <mergeCell ref="F32:F33"/>
    <mergeCell ref="G32:G33"/>
    <mergeCell ref="H32:H35"/>
    <mergeCell ref="O24:O27"/>
    <mergeCell ref="I32:I35"/>
    <mergeCell ref="F26:F27"/>
    <mergeCell ref="G26:G27"/>
    <mergeCell ref="H24:H27"/>
    <mergeCell ref="I24:I27"/>
    <mergeCell ref="L24:L27"/>
    <mergeCell ref="M24:M27"/>
    <mergeCell ref="A24:A27"/>
    <mergeCell ref="C24:C27"/>
    <mergeCell ref="D24:D27"/>
    <mergeCell ref="E24:E27"/>
    <mergeCell ref="M28:M31"/>
    <mergeCell ref="A28:A31"/>
    <mergeCell ref="C28:C31"/>
    <mergeCell ref="D28:D31"/>
    <mergeCell ref="E28:E31"/>
    <mergeCell ref="F28:F31"/>
    <mergeCell ref="G28:G31"/>
    <mergeCell ref="H28:H31"/>
    <mergeCell ref="I28:I31"/>
    <mergeCell ref="L28:L31"/>
    <mergeCell ref="F34:F35"/>
    <mergeCell ref="G34:G35"/>
    <mergeCell ref="N20:N23"/>
    <mergeCell ref="O20:O23"/>
    <mergeCell ref="P20:P23"/>
    <mergeCell ref="A20:A23"/>
    <mergeCell ref="C20:C23"/>
    <mergeCell ref="D20:D23"/>
    <mergeCell ref="E20:E23"/>
    <mergeCell ref="H20:H23"/>
    <mergeCell ref="I20:I23"/>
    <mergeCell ref="F20:F23"/>
    <mergeCell ref="G20:G23"/>
    <mergeCell ref="L20:L23"/>
    <mergeCell ref="M20:M23"/>
    <mergeCell ref="N16:N19"/>
    <mergeCell ref="O16:O19"/>
    <mergeCell ref="P16:P19"/>
    <mergeCell ref="O12:O15"/>
    <mergeCell ref="P12:P15"/>
    <mergeCell ref="A16:A19"/>
    <mergeCell ref="C16:C19"/>
    <mergeCell ref="D16:D19"/>
    <mergeCell ref="E16:E19"/>
    <mergeCell ref="H16:H19"/>
    <mergeCell ref="I16:I19"/>
    <mergeCell ref="F12:F13"/>
    <mergeCell ref="G12:G13"/>
    <mergeCell ref="F16:F17"/>
    <mergeCell ref="G16:G17"/>
    <mergeCell ref="L16:L19"/>
    <mergeCell ref="M16:M19"/>
    <mergeCell ref="P8:P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H8:H11"/>
    <mergeCell ref="I8:I11"/>
    <mergeCell ref="L8:L11"/>
    <mergeCell ref="M8:M11"/>
    <mergeCell ref="N8:N11"/>
    <mergeCell ref="O8:O11"/>
    <mergeCell ref="A8:A11"/>
    <mergeCell ref="C8:C11"/>
    <mergeCell ref="D8:D11"/>
    <mergeCell ref="E8:E11"/>
    <mergeCell ref="F9:F10"/>
    <mergeCell ref="G9:G10"/>
    <mergeCell ref="J6:J7"/>
    <mergeCell ref="K6:K7"/>
    <mergeCell ref="L6:L7"/>
    <mergeCell ref="M6:N6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N40:N43"/>
    <mergeCell ref="A36:A39"/>
    <mergeCell ref="C36:C39"/>
    <mergeCell ref="D36:D39"/>
    <mergeCell ref="E36:E39"/>
    <mergeCell ref="F36:F37"/>
    <mergeCell ref="G36:G37"/>
    <mergeCell ref="H36:H39"/>
    <mergeCell ref="I36:I39"/>
    <mergeCell ref="L36:L39"/>
    <mergeCell ref="A40:A43"/>
    <mergeCell ref="C40:C43"/>
    <mergeCell ref="D40:D43"/>
    <mergeCell ref="E40:E43"/>
    <mergeCell ref="F40:F41"/>
    <mergeCell ref="G40:G41"/>
    <mergeCell ref="H40:H43"/>
    <mergeCell ref="I40:I43"/>
    <mergeCell ref="L40:L43"/>
    <mergeCell ref="M36:M39"/>
    <mergeCell ref="N36:N39"/>
    <mergeCell ref="M40:M43"/>
    <mergeCell ref="E48:E51"/>
    <mergeCell ref="F48:F51"/>
    <mergeCell ref="G48:G51"/>
    <mergeCell ref="H48:H51"/>
    <mergeCell ref="I48:I51"/>
    <mergeCell ref="L48:L51"/>
    <mergeCell ref="A44:A47"/>
    <mergeCell ref="C44:C47"/>
    <mergeCell ref="D44:D47"/>
    <mergeCell ref="E44:E47"/>
    <mergeCell ref="F44:F47"/>
    <mergeCell ref="G44:G47"/>
    <mergeCell ref="H44:H47"/>
    <mergeCell ref="I44:I47"/>
    <mergeCell ref="L44:L47"/>
    <mergeCell ref="A48:A51"/>
    <mergeCell ref="C48:C51"/>
    <mergeCell ref="D48:D51"/>
    <mergeCell ref="A56:A59"/>
    <mergeCell ref="C56:C59"/>
    <mergeCell ref="D56:D59"/>
    <mergeCell ref="E56:E59"/>
    <mergeCell ref="F56:F59"/>
    <mergeCell ref="G56:G59"/>
    <mergeCell ref="H56:H59"/>
    <mergeCell ref="I56:I59"/>
    <mergeCell ref="L56:L59"/>
    <mergeCell ref="A52:A55"/>
    <mergeCell ref="C52:C55"/>
    <mergeCell ref="D52:D55"/>
    <mergeCell ref="E52:E55"/>
    <mergeCell ref="F52:F55"/>
    <mergeCell ref="G52:G55"/>
    <mergeCell ref="H52:H55"/>
    <mergeCell ref="I52:I55"/>
    <mergeCell ref="L52:L55"/>
    <mergeCell ref="M60:M63"/>
    <mergeCell ref="N60:N63"/>
    <mergeCell ref="F61:F62"/>
    <mergeCell ref="G61:G62"/>
    <mergeCell ref="O36:O39"/>
    <mergeCell ref="P36:P39"/>
    <mergeCell ref="O40:O43"/>
    <mergeCell ref="P40:P43"/>
    <mergeCell ref="O44:O47"/>
    <mergeCell ref="P44:P47"/>
    <mergeCell ref="O48:O51"/>
    <mergeCell ref="P48:P51"/>
    <mergeCell ref="O52:O55"/>
    <mergeCell ref="P52:P55"/>
    <mergeCell ref="O56:O59"/>
    <mergeCell ref="P56:P59"/>
    <mergeCell ref="M52:M55"/>
    <mergeCell ref="N52:N55"/>
    <mergeCell ref="M56:M59"/>
    <mergeCell ref="N56:N59"/>
    <mergeCell ref="M44:M47"/>
    <mergeCell ref="N44:N47"/>
    <mergeCell ref="M48:M51"/>
    <mergeCell ref="N48:N51"/>
    <mergeCell ref="E64:E67"/>
    <mergeCell ref="F64:F67"/>
    <mergeCell ref="G64:G67"/>
    <mergeCell ref="H64:H67"/>
    <mergeCell ref="I64:I67"/>
    <mergeCell ref="L64:L67"/>
    <mergeCell ref="A60:A63"/>
    <mergeCell ref="C60:C63"/>
    <mergeCell ref="D60:D63"/>
    <mergeCell ref="E60:E63"/>
    <mergeCell ref="H60:H63"/>
    <mergeCell ref="I60:I63"/>
    <mergeCell ref="L60:L63"/>
    <mergeCell ref="O60:O63"/>
    <mergeCell ref="P60:P63"/>
    <mergeCell ref="O64:O67"/>
    <mergeCell ref="P64:P67"/>
    <mergeCell ref="O68:O76"/>
    <mergeCell ref="P68:P76"/>
    <mergeCell ref="M64:M67"/>
    <mergeCell ref="N64:N67"/>
    <mergeCell ref="A68:A76"/>
    <mergeCell ref="C68:C76"/>
    <mergeCell ref="D68:D76"/>
    <mergeCell ref="E68:E76"/>
    <mergeCell ref="H68:H76"/>
    <mergeCell ref="I68:I76"/>
    <mergeCell ref="L68:L76"/>
    <mergeCell ref="M68:M76"/>
    <mergeCell ref="N68:N76"/>
    <mergeCell ref="F73:F74"/>
    <mergeCell ref="G73:G74"/>
    <mergeCell ref="F75:F76"/>
    <mergeCell ref="G75:G76"/>
    <mergeCell ref="A64:A67"/>
    <mergeCell ref="C64:C67"/>
    <mergeCell ref="D64:D67"/>
    <mergeCell ref="N77:N80"/>
    <mergeCell ref="A81:A84"/>
    <mergeCell ref="C81:C84"/>
    <mergeCell ref="D81:D84"/>
    <mergeCell ref="E81:E84"/>
    <mergeCell ref="H81:H84"/>
    <mergeCell ref="I81:I84"/>
    <mergeCell ref="L81:L84"/>
    <mergeCell ref="M81:M84"/>
    <mergeCell ref="N81:N84"/>
    <mergeCell ref="F83:F84"/>
    <mergeCell ref="G83:G84"/>
    <mergeCell ref="A77:A80"/>
    <mergeCell ref="C77:C80"/>
    <mergeCell ref="D77:D80"/>
    <mergeCell ref="E77:E80"/>
    <mergeCell ref="F77:F80"/>
    <mergeCell ref="G77:G80"/>
    <mergeCell ref="H77:H80"/>
    <mergeCell ref="I77:I80"/>
    <mergeCell ref="L77:L80"/>
    <mergeCell ref="A85:A88"/>
    <mergeCell ref="C85:C88"/>
    <mergeCell ref="D85:D88"/>
    <mergeCell ref="E85:E88"/>
    <mergeCell ref="H85:H88"/>
    <mergeCell ref="I85:I88"/>
    <mergeCell ref="L85:L88"/>
    <mergeCell ref="M85:M88"/>
    <mergeCell ref="N85:N88"/>
    <mergeCell ref="F87:F88"/>
    <mergeCell ref="G87:G88"/>
    <mergeCell ref="A89:A92"/>
    <mergeCell ref="C89:C92"/>
    <mergeCell ref="D89:D92"/>
    <mergeCell ref="E89:E92"/>
    <mergeCell ref="F89:F90"/>
    <mergeCell ref="G89:G90"/>
    <mergeCell ref="H89:H92"/>
    <mergeCell ref="I89:I92"/>
    <mergeCell ref="L89:L92"/>
    <mergeCell ref="A93:A96"/>
    <mergeCell ref="C93:C96"/>
    <mergeCell ref="D93:D96"/>
    <mergeCell ref="E93:E96"/>
    <mergeCell ref="F93:F94"/>
    <mergeCell ref="G93:G94"/>
    <mergeCell ref="H93:H96"/>
    <mergeCell ref="I93:I96"/>
    <mergeCell ref="L93:L96"/>
    <mergeCell ref="A97:A100"/>
    <mergeCell ref="C97:C100"/>
    <mergeCell ref="D97:D100"/>
    <mergeCell ref="E97:E100"/>
    <mergeCell ref="F97:F98"/>
    <mergeCell ref="G97:G98"/>
    <mergeCell ref="H97:H100"/>
    <mergeCell ref="I97:I100"/>
    <mergeCell ref="L97:L100"/>
    <mergeCell ref="A101:A104"/>
    <mergeCell ref="C101:C104"/>
    <mergeCell ref="D101:D104"/>
    <mergeCell ref="E101:E104"/>
    <mergeCell ref="H101:H104"/>
    <mergeCell ref="I101:I104"/>
    <mergeCell ref="L101:L104"/>
    <mergeCell ref="M101:M104"/>
    <mergeCell ref="N101:N104"/>
    <mergeCell ref="F102:F103"/>
    <mergeCell ref="G102:G103"/>
    <mergeCell ref="O77:O80"/>
    <mergeCell ref="P77:P80"/>
    <mergeCell ref="O81:O84"/>
    <mergeCell ref="P81:P84"/>
    <mergeCell ref="O85:O88"/>
    <mergeCell ref="P85:P88"/>
    <mergeCell ref="O89:O92"/>
    <mergeCell ref="P89:P92"/>
    <mergeCell ref="O93:O96"/>
    <mergeCell ref="P93:P96"/>
    <mergeCell ref="O97:O100"/>
    <mergeCell ref="P97:P100"/>
    <mergeCell ref="O101:O104"/>
    <mergeCell ref="P101:P104"/>
    <mergeCell ref="M97:M100"/>
    <mergeCell ref="N97:N100"/>
    <mergeCell ref="F99:F100"/>
    <mergeCell ref="G99:G100"/>
    <mergeCell ref="M89:M92"/>
    <mergeCell ref="N89:N92"/>
    <mergeCell ref="M93:M96"/>
    <mergeCell ref="N93:N96"/>
    <mergeCell ref="M77:M80"/>
  </mergeCells>
  <pageMargins left="0.51181102362204722" right="0.31496062992125984" top="0.55118110236220474" bottom="0.35433070866141736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C968-5D6E-4DBE-8FF2-8D240973D8A8}">
  <sheetPr>
    <tabColor rgb="FF00B0F0"/>
    <pageSetUpPr fitToPage="1"/>
  </sheetPr>
  <dimension ref="A1:BJ81"/>
  <sheetViews>
    <sheetView topLeftCell="A4" zoomScale="85" zoomScaleNormal="85" zoomScaleSheetLayoutView="100" workbookViewId="0">
      <pane ySplit="4" topLeftCell="A10" activePane="bottomLeft" state="frozen"/>
      <selection activeCell="R4" sqref="R4"/>
      <selection pane="bottomLeft" activeCell="B41" sqref="B41"/>
    </sheetView>
  </sheetViews>
  <sheetFormatPr defaultColWidth="8.75" defaultRowHeight="18.75"/>
  <cols>
    <col min="1" max="1" width="8.75" style="2"/>
    <col min="2" max="2" width="39.875" style="2" customWidth="1"/>
    <col min="3" max="3" width="18.125" style="74" customWidth="1"/>
    <col min="4" max="4" width="19" style="74" customWidth="1"/>
    <col min="5" max="5" width="12" style="74" customWidth="1"/>
    <col min="6" max="6" width="13.625" style="74" customWidth="1"/>
    <col min="7" max="7" width="12.25" style="74" customWidth="1"/>
    <col min="8" max="9" width="12.25" style="74" hidden="1" customWidth="1"/>
    <col min="10" max="10" width="13.25" style="74" hidden="1" customWidth="1"/>
    <col min="11" max="15" width="12.25" style="74" hidden="1" customWidth="1"/>
    <col min="16" max="22" width="14.625" style="74" hidden="1" customWidth="1"/>
    <col min="23" max="23" width="13.875" style="74" hidden="1" customWidth="1"/>
    <col min="24" max="29" width="14.625" style="74" hidden="1" customWidth="1"/>
    <col min="30" max="30" width="13.625" style="74" customWidth="1"/>
    <col min="31" max="31" width="13.25" style="74" customWidth="1"/>
    <col min="32" max="33" width="12.25" style="2" customWidth="1"/>
    <col min="34" max="34" width="8.75" style="2"/>
    <col min="35" max="35" width="8.875" style="2" bestFit="1" customWidth="1"/>
    <col min="36" max="36" width="10.125" style="2" bestFit="1" customWidth="1"/>
    <col min="37" max="37" width="9.875" style="2" customWidth="1"/>
    <col min="38" max="38" width="8.875" style="2" bestFit="1" customWidth="1"/>
    <col min="39" max="39" width="9.125" style="2" bestFit="1" customWidth="1"/>
    <col min="40" max="41" width="9" style="2" bestFit="1" customWidth="1"/>
    <col min="42" max="44" width="9.25" style="2" bestFit="1" customWidth="1"/>
    <col min="45" max="45" width="10.375" style="2" customWidth="1"/>
    <col min="46" max="46" width="11.375" style="2" customWidth="1"/>
    <col min="47" max="47" width="11.25" style="2" customWidth="1"/>
    <col min="48" max="51" width="8.75" style="2"/>
    <col min="52" max="52" width="10.375" style="2" customWidth="1"/>
    <col min="53" max="53" width="10.75" style="2" customWidth="1"/>
    <col min="54" max="57" width="8.75" style="2"/>
    <col min="58" max="58" width="9.375" style="2" bestFit="1" customWidth="1"/>
    <col min="59" max="16384" width="8.75" style="2"/>
  </cols>
  <sheetData>
    <row r="1" spans="1:60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1"/>
    </row>
    <row r="2" spans="1:60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1"/>
    </row>
    <row r="3" spans="1:60">
      <c r="A3" s="427" t="s">
        <v>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1"/>
    </row>
    <row r="4" spans="1:6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60" ht="33.75" customHeight="1">
      <c r="A5" s="1"/>
      <c r="B5" s="1"/>
      <c r="C5" s="1"/>
      <c r="D5" s="1"/>
      <c r="E5" s="1"/>
      <c r="F5" s="423">
        <v>244258</v>
      </c>
      <c r="G5" s="419"/>
      <c r="H5" s="423">
        <v>244289</v>
      </c>
      <c r="I5" s="419"/>
      <c r="J5" s="423">
        <v>244319</v>
      </c>
      <c r="K5" s="419"/>
      <c r="L5" s="423">
        <v>244350</v>
      </c>
      <c r="M5" s="419"/>
      <c r="N5" s="423">
        <v>244381</v>
      </c>
      <c r="O5" s="419"/>
      <c r="P5" s="423">
        <v>244409</v>
      </c>
      <c r="Q5" s="419"/>
      <c r="R5" s="423">
        <v>244440</v>
      </c>
      <c r="S5" s="419"/>
      <c r="T5" s="423">
        <v>244470</v>
      </c>
      <c r="U5" s="419"/>
      <c r="V5" s="423">
        <v>244501</v>
      </c>
      <c r="W5" s="419"/>
      <c r="X5" s="423">
        <v>244531</v>
      </c>
      <c r="Y5" s="419"/>
      <c r="Z5" s="423">
        <v>244562</v>
      </c>
      <c r="AA5" s="419"/>
      <c r="AB5" s="423">
        <v>244593</v>
      </c>
      <c r="AC5" s="419"/>
      <c r="AD5" s="424" t="s">
        <v>496</v>
      </c>
      <c r="AE5" s="425"/>
      <c r="AF5" s="426"/>
      <c r="AG5" s="3"/>
    </row>
    <row r="6" spans="1:60" ht="36" customHeight="1">
      <c r="A6" s="419" t="s">
        <v>3</v>
      </c>
      <c r="B6" s="419" t="s">
        <v>4</v>
      </c>
      <c r="C6" s="420" t="s">
        <v>5</v>
      </c>
      <c r="D6" s="421"/>
      <c r="E6" s="422"/>
      <c r="F6" s="422" t="s">
        <v>6</v>
      </c>
      <c r="G6" s="418" t="s">
        <v>7</v>
      </c>
      <c r="H6" s="418" t="s">
        <v>6</v>
      </c>
      <c r="I6" s="418" t="s">
        <v>7</v>
      </c>
      <c r="J6" s="418" t="s">
        <v>6</v>
      </c>
      <c r="K6" s="420" t="s">
        <v>7</v>
      </c>
      <c r="L6" s="415" t="s">
        <v>6</v>
      </c>
      <c r="M6" s="415" t="s">
        <v>7</v>
      </c>
      <c r="N6" s="415" t="s">
        <v>6</v>
      </c>
      <c r="O6" s="415" t="s">
        <v>7</v>
      </c>
      <c r="P6" s="415" t="s">
        <v>6</v>
      </c>
      <c r="Q6" s="415" t="s">
        <v>7</v>
      </c>
      <c r="R6" s="415" t="s">
        <v>6</v>
      </c>
      <c r="S6" s="415" t="s">
        <v>7</v>
      </c>
      <c r="T6" s="415" t="s">
        <v>6</v>
      </c>
      <c r="U6" s="415" t="s">
        <v>7</v>
      </c>
      <c r="V6" s="415" t="s">
        <v>6</v>
      </c>
      <c r="W6" s="415" t="s">
        <v>7</v>
      </c>
      <c r="X6" s="415" t="s">
        <v>6</v>
      </c>
      <c r="Y6" s="415" t="s">
        <v>7</v>
      </c>
      <c r="Z6" s="415" t="s">
        <v>6</v>
      </c>
      <c r="AA6" s="415" t="s">
        <v>7</v>
      </c>
      <c r="AB6" s="415" t="s">
        <v>6</v>
      </c>
      <c r="AC6" s="415" t="s">
        <v>7</v>
      </c>
      <c r="AD6" s="418" t="s">
        <v>8</v>
      </c>
      <c r="AE6" s="418" t="s">
        <v>9</v>
      </c>
      <c r="AF6" s="417" t="s">
        <v>10</v>
      </c>
      <c r="AG6" s="3"/>
    </row>
    <row r="7" spans="1:60" s="6" customFormat="1" ht="54" customHeight="1">
      <c r="A7" s="419"/>
      <c r="B7" s="419"/>
      <c r="C7" s="4" t="s">
        <v>11</v>
      </c>
      <c r="D7" s="5" t="s">
        <v>6</v>
      </c>
      <c r="E7" s="5" t="s">
        <v>7</v>
      </c>
      <c r="F7" s="422"/>
      <c r="G7" s="418"/>
      <c r="H7" s="418"/>
      <c r="I7" s="418"/>
      <c r="J7" s="418"/>
      <c r="K7" s="420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8"/>
      <c r="AE7" s="418"/>
      <c r="AF7" s="417"/>
      <c r="AG7" s="3"/>
    </row>
    <row r="8" spans="1:60" s="6" customFormat="1" ht="21.6" customHeight="1">
      <c r="A8" s="7"/>
      <c r="B8" s="8" t="s">
        <v>494</v>
      </c>
      <c r="C8" s="9"/>
      <c r="D8" s="10"/>
      <c r="E8" s="10"/>
      <c r="F8" s="10"/>
      <c r="G8" s="9"/>
      <c r="H8" s="9"/>
      <c r="I8" s="9"/>
      <c r="J8" s="9"/>
      <c r="K8" s="11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9"/>
      <c r="AE8" s="9"/>
      <c r="AF8" s="14"/>
      <c r="AG8" s="15"/>
    </row>
    <row r="9" spans="1:60">
      <c r="A9" s="16"/>
      <c r="B9" s="17" t="s">
        <v>12</v>
      </c>
      <c r="C9" s="18"/>
      <c r="D9" s="19"/>
      <c r="E9" s="19"/>
      <c r="F9" s="19"/>
      <c r="G9" s="18"/>
      <c r="H9" s="18"/>
      <c r="I9" s="18"/>
      <c r="J9" s="18"/>
      <c r="K9" s="20"/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8"/>
      <c r="AE9" s="18"/>
      <c r="AF9" s="21"/>
    </row>
    <row r="10" spans="1:60">
      <c r="A10" s="16">
        <v>1</v>
      </c>
      <c r="B10" s="21" t="s">
        <v>13</v>
      </c>
      <c r="C10" s="22">
        <v>47238000</v>
      </c>
      <c r="D10" s="19">
        <v>47238000</v>
      </c>
      <c r="E10" s="19"/>
      <c r="F10" s="23"/>
      <c r="G10" s="24"/>
      <c r="H10" s="24"/>
      <c r="I10" s="24"/>
      <c r="J10" s="24"/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8">
        <f>SUM(F10:AC10)</f>
        <v>0</v>
      </c>
      <c r="AE10" s="18">
        <f>F10+H10+J10+L10+N10+P10+R10+T10+V10+X10+Z10+AB10</f>
        <v>0</v>
      </c>
      <c r="AF10" s="25" t="e">
        <f>AE10/AD10</f>
        <v>#DIV/0!</v>
      </c>
      <c r="AG10" s="26"/>
      <c r="AI10" s="27">
        <f>372695-(372695*7/107)</f>
        <v>348313.08411214955</v>
      </c>
      <c r="AJ10" s="27">
        <f>474459-(474459*7/107)</f>
        <v>443419.62616822432</v>
      </c>
      <c r="AK10" s="28">
        <f>440409-(440409*7/107)</f>
        <v>411597.19626168226</v>
      </c>
      <c r="AL10" s="29">
        <f>429822-(429822*7/107)</f>
        <v>401702.80373831774</v>
      </c>
      <c r="AM10" s="29">
        <f>338695-(338695*7/107)</f>
        <v>316537.38317757007</v>
      </c>
      <c r="AN10" s="29">
        <f>478475-(478475*7/107)</f>
        <v>447172.89719626168</v>
      </c>
      <c r="AO10" s="27">
        <f>433363-(433363*7/107)</f>
        <v>405012.14953271026</v>
      </c>
      <c r="AP10" s="27">
        <f>397262-(397262*7/107)</f>
        <v>371272.89719626168</v>
      </c>
      <c r="AQ10" s="28">
        <f>373675-(373675*7/107)</f>
        <v>349228.97196261684</v>
      </c>
      <c r="AR10" s="28">
        <f>2496972-(2496972*7/107)</f>
        <v>2333618.691588785</v>
      </c>
      <c r="AS10" s="28">
        <f>2877996-(2877996*7/107)</f>
        <v>2689715.8878504671</v>
      </c>
      <c r="AT10" s="30">
        <f>481733-(481733*7/107)</f>
        <v>450217.75700934581</v>
      </c>
      <c r="AU10" s="30">
        <f>458500-(458500*7/107)</f>
        <v>428504.67289719626</v>
      </c>
      <c r="AV10" s="31">
        <f>341745-(341745*7/107)</f>
        <v>319387.85046728974</v>
      </c>
      <c r="AW10" s="31">
        <f>462181-(462181*7/107)</f>
        <v>431944.85981308413</v>
      </c>
      <c r="AX10" s="31">
        <f>2787639-(2787639*7/107)</f>
        <v>2605270.0934579438</v>
      </c>
      <c r="AY10" s="31">
        <f>3585717-(3585717*7/107)</f>
        <v>3351137.3831775701</v>
      </c>
      <c r="AZ10" s="27">
        <f>3576105-(3576105*7/107)</f>
        <v>3342154.2056074766</v>
      </c>
      <c r="BA10" s="27">
        <f>8194966-(8194966*7/107)</f>
        <v>7658846.7289719628</v>
      </c>
      <c r="BB10" s="32">
        <f>8979937-(8979937*7/107)</f>
        <v>8392464.4859813079</v>
      </c>
      <c r="BC10" s="33">
        <f>489218-(489218*7/107)</f>
        <v>457213.08411214955</v>
      </c>
      <c r="BD10" s="33">
        <f>489752-(489752*7/107)</f>
        <v>457712.14953271026</v>
      </c>
      <c r="BE10" s="33">
        <f>488704-(488704*7/107)</f>
        <v>456732.71028037381</v>
      </c>
      <c r="BF10" s="29">
        <f>1668996-(1668996*7/107)</f>
        <v>1559809.3457943925</v>
      </c>
      <c r="BG10" s="2">
        <f>2999691-(2999691*7/107)</f>
        <v>2803449.5327102803</v>
      </c>
      <c r="BH10" s="2">
        <f>8197226-(8197226*7/107)</f>
        <v>7660958.878504673</v>
      </c>
    </row>
    <row r="11" spans="1:60">
      <c r="A11" s="16">
        <v>2</v>
      </c>
      <c r="B11" s="34" t="s">
        <v>14</v>
      </c>
      <c r="C11" s="35">
        <v>2200000</v>
      </c>
      <c r="D11" s="19">
        <v>2200000</v>
      </c>
      <c r="E11" s="19"/>
      <c r="F11" s="23"/>
      <c r="G11" s="24"/>
      <c r="H11" s="24"/>
      <c r="I11" s="24"/>
      <c r="J11" s="18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8">
        <f>SUM(F11:AC11)</f>
        <v>0</v>
      </c>
      <c r="AE11" s="18">
        <f t="shared" ref="AE11:AE67" si="0">F11+H11+J11+L11+N11+P11+R11+T11+V11+X11+Z11+AB11</f>
        <v>0</v>
      </c>
      <c r="AF11" s="25" t="e">
        <f t="shared" ref="AF11:AF68" si="1">AE11/AD11</f>
        <v>#DIV/0!</v>
      </c>
      <c r="AG11" s="26"/>
      <c r="AI11" s="32">
        <f>1915482.97-(1915482.97*7/107)</f>
        <v>1790171</v>
      </c>
    </row>
    <row r="12" spans="1:60">
      <c r="A12" s="16">
        <v>3</v>
      </c>
      <c r="B12" s="34" t="s">
        <v>15</v>
      </c>
      <c r="C12" s="22">
        <v>2000000</v>
      </c>
      <c r="D12" s="19">
        <v>2000000</v>
      </c>
      <c r="E12" s="19"/>
      <c r="F12" s="23"/>
      <c r="G12" s="24"/>
      <c r="H12" s="24"/>
      <c r="I12" s="24"/>
      <c r="J12" s="18"/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8">
        <f>SUM(F12:AC12)</f>
        <v>0</v>
      </c>
      <c r="AE12" s="18">
        <f t="shared" si="0"/>
        <v>0</v>
      </c>
      <c r="AF12" s="25" t="e">
        <f t="shared" si="1"/>
        <v>#DIV/0!</v>
      </c>
      <c r="AG12" s="26"/>
      <c r="AI12" s="33">
        <f>857522-(857522*7/107)</f>
        <v>801422.42990654206</v>
      </c>
      <c r="AJ12" s="27">
        <f>135109-(135109*7/107)</f>
        <v>126270.09345794392</v>
      </c>
      <c r="AK12" s="27"/>
    </row>
    <row r="13" spans="1:60">
      <c r="A13" s="16">
        <v>4</v>
      </c>
      <c r="B13" s="34" t="s">
        <v>16</v>
      </c>
      <c r="C13" s="22">
        <v>5000000</v>
      </c>
      <c r="D13" s="19">
        <v>5000000</v>
      </c>
      <c r="E13" s="19"/>
      <c r="F13" s="23"/>
      <c r="G13" s="24"/>
      <c r="H13" s="24"/>
      <c r="I13" s="24"/>
      <c r="J13" s="18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8">
        <f>SUM(F13:AC13)</f>
        <v>0</v>
      </c>
      <c r="AE13" s="18">
        <f t="shared" si="0"/>
        <v>0</v>
      </c>
      <c r="AF13" s="25" t="e">
        <f t="shared" si="1"/>
        <v>#DIV/0!</v>
      </c>
      <c r="AG13" s="26"/>
      <c r="AI13" s="33">
        <f>779988-(779988*7/107)</f>
        <v>728960.74766355136</v>
      </c>
      <c r="AJ13" s="33">
        <f>799997-(799997*7/107)</f>
        <v>747660.74766355136</v>
      </c>
      <c r="AK13" s="27">
        <f>489005-(489005*7/107)</f>
        <v>457014.01869158878</v>
      </c>
      <c r="AS13" s="27"/>
      <c r="AT13" s="27"/>
      <c r="AU13" s="27"/>
    </row>
    <row r="14" spans="1:60">
      <c r="A14" s="16">
        <v>5</v>
      </c>
      <c r="B14" s="34" t="s">
        <v>17</v>
      </c>
      <c r="C14" s="22">
        <v>0</v>
      </c>
      <c r="D14" s="19">
        <v>0</v>
      </c>
      <c r="E14" s="19"/>
      <c r="F14" s="23"/>
      <c r="G14" s="24"/>
      <c r="H14" s="24"/>
      <c r="I14" s="24"/>
      <c r="J14" s="18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8">
        <f t="shared" ref="AD14:AD68" si="2">SUM(F14:AC14)</f>
        <v>0</v>
      </c>
      <c r="AE14" s="18">
        <f t="shared" si="0"/>
        <v>0</v>
      </c>
      <c r="AF14" s="25" t="e">
        <f t="shared" si="1"/>
        <v>#DIV/0!</v>
      </c>
      <c r="AG14" s="26"/>
    </row>
    <row r="15" spans="1:60">
      <c r="A15" s="16">
        <v>6</v>
      </c>
      <c r="B15" s="21" t="s">
        <v>18</v>
      </c>
      <c r="C15" s="22">
        <v>2000000</v>
      </c>
      <c r="D15" s="36">
        <v>2000000</v>
      </c>
      <c r="E15" s="36"/>
      <c r="F15" s="37"/>
      <c r="G15" s="38"/>
      <c r="H15" s="38"/>
      <c r="I15" s="38"/>
      <c r="J15" s="39"/>
      <c r="K15" s="40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18">
        <f t="shared" si="2"/>
        <v>0</v>
      </c>
      <c r="AE15" s="18">
        <f t="shared" si="0"/>
        <v>0</v>
      </c>
      <c r="AF15" s="25" t="e">
        <f t="shared" si="1"/>
        <v>#DIV/0!</v>
      </c>
      <c r="AG15" s="26"/>
      <c r="AI15" s="32">
        <f>998726.23-(998726.23*7/107)</f>
        <v>933389</v>
      </c>
    </row>
    <row r="16" spans="1:60">
      <c r="A16" s="41"/>
      <c r="B16" s="42" t="s">
        <v>19</v>
      </c>
      <c r="C16" s="43"/>
      <c r="D16" s="44"/>
      <c r="E16" s="44"/>
      <c r="F16" s="45"/>
      <c r="G16" s="46"/>
      <c r="H16" s="46"/>
      <c r="I16" s="46"/>
      <c r="J16" s="47"/>
      <c r="K16" s="48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7"/>
      <c r="AE16" s="47"/>
      <c r="AF16" s="49" t="e">
        <f t="shared" si="1"/>
        <v>#DIV/0!</v>
      </c>
      <c r="AG16" s="50"/>
    </row>
    <row r="17" spans="1:35">
      <c r="A17" s="16">
        <v>1</v>
      </c>
      <c r="B17" s="21" t="s">
        <v>498</v>
      </c>
      <c r="C17" s="51">
        <v>25000</v>
      </c>
      <c r="D17" s="18">
        <v>25000</v>
      </c>
      <c r="E17" s="19"/>
      <c r="F17" s="23">
        <f>AI17</f>
        <v>23350</v>
      </c>
      <c r="G17" s="24"/>
      <c r="H17" s="24"/>
      <c r="I17" s="24"/>
      <c r="J17" s="18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>
        <f t="shared" si="2"/>
        <v>23350</v>
      </c>
      <c r="AE17" s="18">
        <f t="shared" si="0"/>
        <v>23350</v>
      </c>
      <c r="AF17" s="25">
        <f t="shared" si="1"/>
        <v>1</v>
      </c>
      <c r="AG17" s="26"/>
      <c r="AI17" s="2">
        <f>24984.5-(24984.5*7/107)</f>
        <v>23350</v>
      </c>
    </row>
    <row r="18" spans="1:35">
      <c r="A18" s="16">
        <v>2</v>
      </c>
      <c r="B18" s="21" t="s">
        <v>499</v>
      </c>
      <c r="C18" s="51">
        <v>9800</v>
      </c>
      <c r="D18" s="19">
        <v>9800</v>
      </c>
      <c r="E18" s="19"/>
      <c r="F18" s="23">
        <f>AI18</f>
        <v>9800</v>
      </c>
      <c r="G18" s="24"/>
      <c r="H18" s="24"/>
      <c r="I18" s="24"/>
      <c r="J18" s="18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8">
        <f t="shared" si="2"/>
        <v>9800</v>
      </c>
      <c r="AE18" s="18">
        <f t="shared" si="0"/>
        <v>9800</v>
      </c>
      <c r="AF18" s="25">
        <f t="shared" si="1"/>
        <v>1</v>
      </c>
      <c r="AG18" s="26"/>
      <c r="AI18" s="2">
        <f>10486-(10486*7/107)</f>
        <v>9800</v>
      </c>
    </row>
    <row r="19" spans="1:35">
      <c r="A19" s="16">
        <v>3</v>
      </c>
      <c r="B19" s="21" t="s">
        <v>500</v>
      </c>
      <c r="C19" s="51">
        <v>2000</v>
      </c>
      <c r="D19" s="19">
        <v>2000</v>
      </c>
      <c r="E19" s="19"/>
      <c r="F19" s="23">
        <f>AI19</f>
        <v>1480</v>
      </c>
      <c r="G19" s="24"/>
      <c r="H19" s="24"/>
      <c r="I19" s="24"/>
      <c r="J19" s="18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8">
        <f t="shared" si="2"/>
        <v>1480</v>
      </c>
      <c r="AE19" s="18">
        <f t="shared" si="0"/>
        <v>1480</v>
      </c>
      <c r="AF19" s="25">
        <f t="shared" si="1"/>
        <v>1</v>
      </c>
      <c r="AG19" s="26"/>
      <c r="AI19" s="2">
        <f>1583.6-(1583.6*7/107)</f>
        <v>1480</v>
      </c>
    </row>
    <row r="20" spans="1:35">
      <c r="A20" s="16">
        <v>4</v>
      </c>
      <c r="B20" s="21"/>
      <c r="C20" s="51"/>
      <c r="D20" s="19"/>
      <c r="E20" s="19"/>
      <c r="F20" s="23"/>
      <c r="G20" s="24"/>
      <c r="H20" s="24"/>
      <c r="I20" s="24"/>
      <c r="J20" s="18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8">
        <f t="shared" si="2"/>
        <v>0</v>
      </c>
      <c r="AE20" s="18">
        <f t="shared" si="0"/>
        <v>0</v>
      </c>
      <c r="AF20" s="25" t="e">
        <f t="shared" si="1"/>
        <v>#DIV/0!</v>
      </c>
      <c r="AG20" s="26"/>
    </row>
    <row r="21" spans="1:35">
      <c r="A21" s="16">
        <v>5</v>
      </c>
      <c r="B21" s="21"/>
      <c r="C21" s="51"/>
      <c r="D21" s="19"/>
      <c r="E21" s="19"/>
      <c r="F21" s="23"/>
      <c r="G21" s="24"/>
      <c r="H21" s="24"/>
      <c r="I21" s="24"/>
      <c r="J21" s="18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8">
        <f t="shared" si="2"/>
        <v>0</v>
      </c>
      <c r="AE21" s="18">
        <f t="shared" si="0"/>
        <v>0</v>
      </c>
      <c r="AF21" s="25" t="e">
        <f t="shared" si="1"/>
        <v>#DIV/0!</v>
      </c>
      <c r="AG21" s="26"/>
      <c r="AI21" s="27"/>
    </row>
    <row r="22" spans="1:35">
      <c r="A22" s="16">
        <v>6</v>
      </c>
      <c r="B22" s="21"/>
      <c r="C22" s="51"/>
      <c r="D22" s="19"/>
      <c r="E22" s="19"/>
      <c r="F22" s="23"/>
      <c r="G22" s="24"/>
      <c r="H22" s="24"/>
      <c r="I22" s="24"/>
      <c r="J22" s="18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>
        <f t="shared" si="2"/>
        <v>0</v>
      </c>
      <c r="AE22" s="18">
        <f t="shared" si="0"/>
        <v>0</v>
      </c>
      <c r="AF22" s="25" t="e">
        <f t="shared" si="1"/>
        <v>#DIV/0!</v>
      </c>
      <c r="AG22" s="26"/>
    </row>
    <row r="23" spans="1:35">
      <c r="A23" s="16">
        <v>7</v>
      </c>
      <c r="B23" s="21"/>
      <c r="C23" s="51"/>
      <c r="D23" s="19"/>
      <c r="E23" s="19"/>
      <c r="F23" s="23"/>
      <c r="G23" s="24"/>
      <c r="H23" s="24"/>
      <c r="I23" s="24"/>
      <c r="J23" s="18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>
        <f t="shared" si="2"/>
        <v>0</v>
      </c>
      <c r="AE23" s="18">
        <f t="shared" si="0"/>
        <v>0</v>
      </c>
      <c r="AF23" s="25" t="e">
        <f t="shared" si="1"/>
        <v>#DIV/0!</v>
      </c>
      <c r="AG23" s="26"/>
      <c r="AI23" s="27"/>
    </row>
    <row r="24" spans="1:35">
      <c r="A24" s="16">
        <v>8</v>
      </c>
      <c r="B24" s="21"/>
      <c r="C24" s="51"/>
      <c r="D24" s="19"/>
      <c r="E24" s="19"/>
      <c r="F24" s="23"/>
      <c r="G24" s="24"/>
      <c r="H24" s="24"/>
      <c r="I24" s="24"/>
      <c r="J24" s="18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>
        <f t="shared" si="2"/>
        <v>0</v>
      </c>
      <c r="AE24" s="18">
        <f t="shared" si="0"/>
        <v>0</v>
      </c>
      <c r="AF24" s="25" t="e">
        <f t="shared" si="1"/>
        <v>#DIV/0!</v>
      </c>
      <c r="AG24" s="26"/>
      <c r="AI24" s="28"/>
    </row>
    <row r="25" spans="1:35">
      <c r="A25" s="16">
        <v>9</v>
      </c>
      <c r="B25" s="21"/>
      <c r="C25" s="51"/>
      <c r="D25" s="19"/>
      <c r="E25" s="19"/>
      <c r="F25" s="23"/>
      <c r="G25" s="24"/>
      <c r="H25" s="24"/>
      <c r="I25" s="24"/>
      <c r="J25" s="18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>
        <f t="shared" si="2"/>
        <v>0</v>
      </c>
      <c r="AE25" s="18">
        <f t="shared" si="0"/>
        <v>0</v>
      </c>
      <c r="AF25" s="25" t="e">
        <f t="shared" si="1"/>
        <v>#DIV/0!</v>
      </c>
      <c r="AG25" s="26"/>
      <c r="AI25" s="27"/>
    </row>
    <row r="26" spans="1:35">
      <c r="A26" s="16">
        <v>10</v>
      </c>
      <c r="B26" s="21"/>
      <c r="C26" s="51"/>
      <c r="D26" s="19"/>
      <c r="E26" s="19"/>
      <c r="F26" s="23"/>
      <c r="G26" s="24"/>
      <c r="H26" s="24"/>
      <c r="I26" s="24"/>
      <c r="J26" s="18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>
        <f t="shared" si="2"/>
        <v>0</v>
      </c>
      <c r="AE26" s="18">
        <f t="shared" si="0"/>
        <v>0</v>
      </c>
      <c r="AF26" s="25" t="e">
        <f t="shared" si="1"/>
        <v>#DIV/0!</v>
      </c>
      <c r="AG26" s="26"/>
      <c r="AI26" s="27"/>
    </row>
    <row r="27" spans="1:35">
      <c r="A27" s="16">
        <v>11</v>
      </c>
      <c r="B27" s="21"/>
      <c r="C27" s="51"/>
      <c r="D27" s="19"/>
      <c r="E27" s="19"/>
      <c r="F27" s="23"/>
      <c r="G27" s="24"/>
      <c r="H27" s="24"/>
      <c r="I27" s="24"/>
      <c r="J27" s="18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>
        <f t="shared" si="2"/>
        <v>0</v>
      </c>
      <c r="AE27" s="18">
        <f t="shared" si="0"/>
        <v>0</v>
      </c>
      <c r="AF27" s="25" t="e">
        <f t="shared" si="1"/>
        <v>#DIV/0!</v>
      </c>
      <c r="AG27" s="26"/>
      <c r="AI27" s="27"/>
    </row>
    <row r="28" spans="1:35">
      <c r="A28" s="16"/>
      <c r="B28" s="21"/>
      <c r="C28" s="51"/>
      <c r="D28" s="19"/>
      <c r="E28" s="19"/>
      <c r="F28" s="23"/>
      <c r="G28" s="24"/>
      <c r="H28" s="24"/>
      <c r="I28" s="24"/>
      <c r="J28" s="18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>
        <f t="shared" si="2"/>
        <v>0</v>
      </c>
      <c r="AE28" s="18">
        <f t="shared" si="0"/>
        <v>0</v>
      </c>
      <c r="AF28" s="25" t="e">
        <f t="shared" si="1"/>
        <v>#DIV/0!</v>
      </c>
      <c r="AG28" s="26"/>
    </row>
    <row r="29" spans="1:35">
      <c r="A29" s="16"/>
      <c r="B29" s="21"/>
      <c r="C29" s="51"/>
      <c r="D29" s="19"/>
      <c r="E29" s="19"/>
      <c r="F29" s="23"/>
      <c r="G29" s="24"/>
      <c r="H29" s="24"/>
      <c r="I29" s="24"/>
      <c r="J29" s="18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>
        <f t="shared" si="2"/>
        <v>0</v>
      </c>
      <c r="AE29" s="18">
        <f t="shared" si="0"/>
        <v>0</v>
      </c>
      <c r="AF29" s="25" t="e">
        <f t="shared" si="1"/>
        <v>#DIV/0!</v>
      </c>
      <c r="AG29" s="26"/>
    </row>
    <row r="30" spans="1:35">
      <c r="A30" s="16"/>
      <c r="B30" s="21"/>
      <c r="C30" s="51"/>
      <c r="D30" s="19"/>
      <c r="E30" s="19"/>
      <c r="F30" s="23"/>
      <c r="G30" s="24"/>
      <c r="H30" s="24"/>
      <c r="I30" s="24"/>
      <c r="J30" s="18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>
        <f t="shared" si="2"/>
        <v>0</v>
      </c>
      <c r="AE30" s="18">
        <f t="shared" si="0"/>
        <v>0</v>
      </c>
      <c r="AF30" s="25" t="e">
        <f t="shared" si="1"/>
        <v>#DIV/0!</v>
      </c>
      <c r="AG30" s="26"/>
    </row>
    <row r="31" spans="1:35" ht="18.75" customHeight="1">
      <c r="A31" s="41"/>
      <c r="B31" s="42" t="s">
        <v>20</v>
      </c>
      <c r="C31" s="43"/>
      <c r="D31" s="44"/>
      <c r="E31" s="44"/>
      <c r="F31" s="45"/>
      <c r="G31" s="46"/>
      <c r="H31" s="46"/>
      <c r="I31" s="46"/>
      <c r="J31" s="47"/>
      <c r="K31" s="48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7"/>
      <c r="AE31" s="47"/>
      <c r="AF31" s="49" t="e">
        <f t="shared" si="1"/>
        <v>#DIV/0!</v>
      </c>
      <c r="AG31" s="50"/>
    </row>
    <row r="32" spans="1:35" ht="18.75" customHeight="1">
      <c r="A32" s="16">
        <v>1</v>
      </c>
      <c r="B32" s="52" t="s">
        <v>21</v>
      </c>
      <c r="C32" s="22">
        <v>0</v>
      </c>
      <c r="D32" s="19">
        <v>0</v>
      </c>
      <c r="E32" s="19"/>
      <c r="F32" s="23"/>
      <c r="G32" s="24"/>
      <c r="H32" s="24"/>
      <c r="I32" s="24"/>
      <c r="J32" s="18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>
        <f t="shared" si="2"/>
        <v>0</v>
      </c>
      <c r="AE32" s="18">
        <f t="shared" si="0"/>
        <v>0</v>
      </c>
      <c r="AF32" s="25" t="e">
        <f t="shared" si="1"/>
        <v>#DIV/0!</v>
      </c>
      <c r="AG32" s="26"/>
    </row>
    <row r="33" spans="1:37" ht="18.75" customHeight="1">
      <c r="A33" s="16">
        <v>2</v>
      </c>
      <c r="B33" s="52" t="s">
        <v>22</v>
      </c>
      <c r="C33" s="22">
        <v>326000</v>
      </c>
      <c r="D33" s="19">
        <v>326000</v>
      </c>
      <c r="E33" s="19"/>
      <c r="F33" s="23">
        <f>AI33</f>
        <v>319213</v>
      </c>
      <c r="G33" s="24"/>
      <c r="H33" s="24"/>
      <c r="I33" s="24"/>
      <c r="J33" s="18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>
        <f t="shared" si="2"/>
        <v>319213</v>
      </c>
      <c r="AE33" s="18">
        <f t="shared" si="0"/>
        <v>319213</v>
      </c>
      <c r="AF33" s="25">
        <f t="shared" si="1"/>
        <v>1</v>
      </c>
      <c r="AG33" s="26"/>
      <c r="AI33" s="2">
        <f>341557.91-(341557.91*7/107)</f>
        <v>319213</v>
      </c>
    </row>
    <row r="34" spans="1:37" ht="18.75" customHeight="1">
      <c r="A34" s="16">
        <v>3</v>
      </c>
      <c r="B34" s="52" t="s">
        <v>23</v>
      </c>
      <c r="C34" s="22">
        <v>8199000</v>
      </c>
      <c r="D34" s="19">
        <v>8199000</v>
      </c>
      <c r="E34" s="19"/>
      <c r="F34" s="23">
        <f>AI34</f>
        <v>8126039.252336449</v>
      </c>
      <c r="G34" s="24"/>
      <c r="H34" s="24"/>
      <c r="I34" s="24"/>
      <c r="J34" s="18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>
        <f>SUM(F34:AC34)</f>
        <v>8126039.252336449</v>
      </c>
      <c r="AE34" s="18">
        <f t="shared" si="0"/>
        <v>8126039.252336449</v>
      </c>
      <c r="AF34" s="25">
        <f t="shared" si="1"/>
        <v>1</v>
      </c>
      <c r="AG34" s="53"/>
      <c r="AH34" s="54"/>
      <c r="AI34" s="2">
        <f>8694862-(8694862*7/107)</f>
        <v>8126039.252336449</v>
      </c>
      <c r="AJ34" s="32"/>
    </row>
    <row r="35" spans="1:37">
      <c r="A35" s="16">
        <v>4</v>
      </c>
      <c r="B35" s="52" t="s">
        <v>24</v>
      </c>
      <c r="C35" s="22">
        <v>2890000</v>
      </c>
      <c r="D35" s="19">
        <v>2890000</v>
      </c>
      <c r="E35" s="19"/>
      <c r="F35" s="23">
        <f>AI35</f>
        <v>1858863</v>
      </c>
      <c r="G35" s="24"/>
      <c r="H35" s="24"/>
      <c r="I35" s="24"/>
      <c r="J35" s="18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>
        <f>SUM(F35:AC35)</f>
        <v>1858863</v>
      </c>
      <c r="AE35" s="18">
        <f t="shared" si="0"/>
        <v>1858863</v>
      </c>
      <c r="AF35" s="25">
        <f t="shared" si="1"/>
        <v>1</v>
      </c>
      <c r="AG35" s="53"/>
      <c r="AH35" s="54"/>
      <c r="AI35" s="2">
        <f>1988983.41-(1988983.41*7/107)</f>
        <v>1858863</v>
      </c>
      <c r="AJ35" s="55"/>
      <c r="AK35" s="27"/>
    </row>
    <row r="36" spans="1:37">
      <c r="A36" s="16">
        <v>5</v>
      </c>
      <c r="B36" s="52" t="s">
        <v>25</v>
      </c>
      <c r="C36" s="22">
        <v>100000</v>
      </c>
      <c r="D36" s="19">
        <v>100000</v>
      </c>
      <c r="E36" s="19"/>
      <c r="F36" s="23"/>
      <c r="G36" s="24"/>
      <c r="H36" s="24"/>
      <c r="I36" s="24"/>
      <c r="J36" s="18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8">
        <f t="shared" si="2"/>
        <v>0</v>
      </c>
      <c r="AE36" s="18">
        <f t="shared" si="0"/>
        <v>0</v>
      </c>
      <c r="AF36" s="25" t="e">
        <f t="shared" si="1"/>
        <v>#DIV/0!</v>
      </c>
      <c r="AG36" s="26"/>
    </row>
    <row r="37" spans="1:37">
      <c r="A37" s="16">
        <v>6</v>
      </c>
      <c r="B37" s="52" t="s">
        <v>26</v>
      </c>
      <c r="C37" s="22">
        <v>5151600</v>
      </c>
      <c r="D37" s="19">
        <v>5151600</v>
      </c>
      <c r="E37" s="19"/>
      <c r="F37" s="23"/>
      <c r="G37" s="24"/>
      <c r="H37" s="24"/>
      <c r="I37" s="24"/>
      <c r="J37" s="18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8"/>
      <c r="AE37" s="18"/>
      <c r="AF37" s="25" t="e">
        <f t="shared" si="1"/>
        <v>#DIV/0!</v>
      </c>
      <c r="AG37" s="26"/>
    </row>
    <row r="38" spans="1:37">
      <c r="A38" s="16">
        <v>7</v>
      </c>
      <c r="B38" s="52" t="s">
        <v>27</v>
      </c>
      <c r="C38" s="22">
        <v>107200</v>
      </c>
      <c r="D38" s="19">
        <v>107200</v>
      </c>
      <c r="E38" s="19"/>
      <c r="F38" s="23"/>
      <c r="G38" s="24"/>
      <c r="H38" s="24"/>
      <c r="I38" s="24"/>
      <c r="J38" s="18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8">
        <f t="shared" si="2"/>
        <v>0</v>
      </c>
      <c r="AE38" s="18">
        <f t="shared" si="0"/>
        <v>0</v>
      </c>
      <c r="AF38" s="25" t="e">
        <f t="shared" si="1"/>
        <v>#DIV/0!</v>
      </c>
      <c r="AG38" s="26"/>
    </row>
    <row r="39" spans="1:37">
      <c r="A39" s="16">
        <v>8</v>
      </c>
      <c r="B39" s="52" t="s">
        <v>28</v>
      </c>
      <c r="C39" s="51">
        <v>45000</v>
      </c>
      <c r="D39" s="18">
        <v>45000</v>
      </c>
      <c r="E39" s="19"/>
      <c r="F39" s="23">
        <f>AI39</f>
        <v>45000</v>
      </c>
      <c r="G39" s="24"/>
      <c r="H39" s="24"/>
      <c r="I39" s="24"/>
      <c r="J39" s="18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8">
        <f t="shared" si="2"/>
        <v>45000</v>
      </c>
      <c r="AE39" s="18">
        <f t="shared" si="0"/>
        <v>45000</v>
      </c>
      <c r="AF39" s="25">
        <f t="shared" si="1"/>
        <v>1</v>
      </c>
      <c r="AG39" s="26"/>
      <c r="AI39" s="199">
        <f>48150-(48150*7/107)</f>
        <v>45000</v>
      </c>
    </row>
    <row r="40" spans="1:37">
      <c r="A40" s="16"/>
      <c r="B40" s="52" t="s">
        <v>497</v>
      </c>
      <c r="C40" s="51"/>
      <c r="D40" s="19"/>
      <c r="E40" s="19"/>
      <c r="F40" s="23"/>
      <c r="G40" s="24"/>
      <c r="H40" s="24"/>
      <c r="I40" s="24"/>
      <c r="J40" s="18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8">
        <f t="shared" ref="AD40" si="3">SUM(F40:AC40)</f>
        <v>0</v>
      </c>
      <c r="AE40" s="18">
        <f t="shared" ref="AE40" si="4">F40+H40+J40+L40+N40+P40+R40+T40+V40+X40+Z40+AB40</f>
        <v>0</v>
      </c>
      <c r="AF40" s="25" t="e">
        <f t="shared" si="1"/>
        <v>#DIV/0!</v>
      </c>
      <c r="AG40" s="26"/>
      <c r="AI40" s="33"/>
    </row>
    <row r="41" spans="1:37">
      <c r="A41" s="16">
        <v>9</v>
      </c>
      <c r="B41" s="52"/>
      <c r="C41" s="51"/>
      <c r="D41" s="19"/>
      <c r="E41" s="19"/>
      <c r="F41" s="23"/>
      <c r="G41" s="24"/>
      <c r="H41" s="24"/>
      <c r="I41" s="24"/>
      <c r="J41" s="18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8">
        <f t="shared" si="2"/>
        <v>0</v>
      </c>
      <c r="AE41" s="18">
        <f t="shared" si="0"/>
        <v>0</v>
      </c>
      <c r="AF41" s="25" t="e">
        <f t="shared" si="1"/>
        <v>#DIV/0!</v>
      </c>
      <c r="AG41" s="26"/>
    </row>
    <row r="42" spans="1:37">
      <c r="A42" s="16">
        <v>10</v>
      </c>
      <c r="B42" s="52"/>
      <c r="C42" s="51"/>
      <c r="D42" s="19"/>
      <c r="E42" s="19"/>
      <c r="F42" s="23"/>
      <c r="G42" s="24"/>
      <c r="H42" s="24"/>
      <c r="I42" s="24"/>
      <c r="J42" s="18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8">
        <f t="shared" si="2"/>
        <v>0</v>
      </c>
      <c r="AE42" s="18">
        <f t="shared" si="0"/>
        <v>0</v>
      </c>
      <c r="AF42" s="25" t="e">
        <f t="shared" si="1"/>
        <v>#DIV/0!</v>
      </c>
      <c r="AG42" s="26"/>
    </row>
    <row r="43" spans="1:37">
      <c r="A43" s="16">
        <v>11</v>
      </c>
      <c r="B43" s="52"/>
      <c r="C43" s="51"/>
      <c r="D43" s="19"/>
      <c r="E43" s="19"/>
      <c r="F43" s="23"/>
      <c r="G43" s="24"/>
      <c r="H43" s="24"/>
      <c r="I43" s="24"/>
      <c r="J43" s="18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8">
        <f t="shared" si="2"/>
        <v>0</v>
      </c>
      <c r="AE43" s="18">
        <f t="shared" si="0"/>
        <v>0</v>
      </c>
      <c r="AF43" s="25" t="e">
        <f t="shared" si="1"/>
        <v>#DIV/0!</v>
      </c>
      <c r="AG43" s="26"/>
    </row>
    <row r="44" spans="1:37">
      <c r="A44" s="16">
        <v>12</v>
      </c>
      <c r="B44" s="52"/>
      <c r="C44" s="51"/>
      <c r="D44" s="19"/>
      <c r="E44" s="19"/>
      <c r="F44" s="23"/>
      <c r="G44" s="24"/>
      <c r="H44" s="24"/>
      <c r="I44" s="24"/>
      <c r="J44" s="18"/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8">
        <f t="shared" si="2"/>
        <v>0</v>
      </c>
      <c r="AE44" s="18">
        <f t="shared" si="0"/>
        <v>0</v>
      </c>
      <c r="AF44" s="25" t="e">
        <f t="shared" si="1"/>
        <v>#DIV/0!</v>
      </c>
      <c r="AG44" s="26"/>
    </row>
    <row r="45" spans="1:37">
      <c r="A45" s="16">
        <v>13</v>
      </c>
      <c r="B45" s="21"/>
      <c r="C45" s="51"/>
      <c r="D45" s="19"/>
      <c r="E45" s="19"/>
      <c r="F45" s="23"/>
      <c r="G45" s="24"/>
      <c r="H45" s="24"/>
      <c r="I45" s="24"/>
      <c r="J45" s="18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8">
        <f t="shared" ref="AD45:AD50" si="5">SUM(F45:AC45)</f>
        <v>0</v>
      </c>
      <c r="AE45" s="18">
        <f t="shared" si="0"/>
        <v>0</v>
      </c>
      <c r="AF45" s="25" t="e">
        <f t="shared" si="1"/>
        <v>#DIV/0!</v>
      </c>
      <c r="AG45" s="26"/>
    </row>
    <row r="46" spans="1:37">
      <c r="A46" s="16">
        <v>14</v>
      </c>
      <c r="B46" s="52"/>
      <c r="C46" s="51"/>
      <c r="D46" s="19"/>
      <c r="E46" s="19"/>
      <c r="F46" s="23"/>
      <c r="G46" s="24"/>
      <c r="H46" s="24"/>
      <c r="I46" s="24"/>
      <c r="J46" s="18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8">
        <f t="shared" si="5"/>
        <v>0</v>
      </c>
      <c r="AE46" s="18">
        <f t="shared" si="0"/>
        <v>0</v>
      </c>
      <c r="AF46" s="25" t="e">
        <f t="shared" si="1"/>
        <v>#DIV/0!</v>
      </c>
      <c r="AG46" s="26"/>
    </row>
    <row r="47" spans="1:37">
      <c r="A47" s="16">
        <v>15</v>
      </c>
      <c r="B47" s="21"/>
      <c r="C47" s="51"/>
      <c r="D47" s="19"/>
      <c r="E47" s="19"/>
      <c r="F47" s="23"/>
      <c r="G47" s="24"/>
      <c r="H47" s="24"/>
      <c r="I47" s="24"/>
      <c r="J47" s="18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8">
        <f t="shared" si="5"/>
        <v>0</v>
      </c>
      <c r="AE47" s="18">
        <f t="shared" si="0"/>
        <v>0</v>
      </c>
      <c r="AF47" s="25" t="e">
        <f t="shared" si="1"/>
        <v>#DIV/0!</v>
      </c>
      <c r="AG47" s="26"/>
    </row>
    <row r="48" spans="1:37">
      <c r="A48" s="16">
        <v>16</v>
      </c>
      <c r="B48" s="21"/>
      <c r="C48" s="51"/>
      <c r="D48" s="19"/>
      <c r="E48" s="19"/>
      <c r="F48" s="23"/>
      <c r="G48" s="24"/>
      <c r="H48" s="24"/>
      <c r="I48" s="24"/>
      <c r="J48" s="18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8">
        <f t="shared" si="5"/>
        <v>0</v>
      </c>
      <c r="AE48" s="18">
        <f t="shared" si="0"/>
        <v>0</v>
      </c>
      <c r="AF48" s="25" t="e">
        <f t="shared" si="1"/>
        <v>#DIV/0!</v>
      </c>
      <c r="AG48" s="26"/>
    </row>
    <row r="49" spans="1:35">
      <c r="A49" s="16">
        <v>17</v>
      </c>
      <c r="B49" s="21"/>
      <c r="C49" s="51"/>
      <c r="D49" s="19"/>
      <c r="E49" s="19"/>
      <c r="F49" s="23"/>
      <c r="G49" s="24"/>
      <c r="H49" s="24"/>
      <c r="I49" s="24"/>
      <c r="J49" s="18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8">
        <f t="shared" si="5"/>
        <v>0</v>
      </c>
      <c r="AE49" s="18">
        <f t="shared" si="0"/>
        <v>0</v>
      </c>
      <c r="AF49" s="25" t="e">
        <f t="shared" si="1"/>
        <v>#DIV/0!</v>
      </c>
      <c r="AG49" s="26"/>
    </row>
    <row r="50" spans="1:35">
      <c r="A50" s="16">
        <v>18</v>
      </c>
      <c r="B50" s="21"/>
      <c r="C50" s="51"/>
      <c r="D50" s="19"/>
      <c r="E50" s="19"/>
      <c r="F50" s="23"/>
      <c r="G50" s="24"/>
      <c r="H50" s="24"/>
      <c r="I50" s="24"/>
      <c r="J50" s="18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8">
        <f t="shared" si="5"/>
        <v>0</v>
      </c>
      <c r="AE50" s="18">
        <f t="shared" si="0"/>
        <v>0</v>
      </c>
      <c r="AF50" s="25" t="e">
        <f t="shared" si="1"/>
        <v>#DIV/0!</v>
      </c>
      <c r="AG50" s="26"/>
    </row>
    <row r="51" spans="1:35">
      <c r="A51" s="16">
        <v>19</v>
      </c>
      <c r="B51" s="21"/>
      <c r="C51" s="51"/>
      <c r="D51" s="19"/>
      <c r="E51" s="19"/>
      <c r="F51" s="23"/>
      <c r="G51" s="24"/>
      <c r="H51" s="24"/>
      <c r="I51" s="24"/>
      <c r="J51" s="18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8">
        <f t="shared" si="2"/>
        <v>0</v>
      </c>
      <c r="AE51" s="18">
        <f t="shared" si="0"/>
        <v>0</v>
      </c>
      <c r="AF51" s="25" t="e">
        <f t="shared" si="1"/>
        <v>#DIV/0!</v>
      </c>
      <c r="AG51" s="26"/>
    </row>
    <row r="52" spans="1:35">
      <c r="A52" s="16">
        <v>20</v>
      </c>
      <c r="B52" s="21"/>
      <c r="C52" s="51"/>
      <c r="D52" s="19"/>
      <c r="E52" s="19"/>
      <c r="F52" s="23"/>
      <c r="G52" s="24"/>
      <c r="H52" s="24"/>
      <c r="I52" s="24"/>
      <c r="J52" s="18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8">
        <f t="shared" si="2"/>
        <v>0</v>
      </c>
      <c r="AE52" s="18">
        <f t="shared" si="0"/>
        <v>0</v>
      </c>
      <c r="AF52" s="25" t="e">
        <f t="shared" si="1"/>
        <v>#DIV/0!</v>
      </c>
      <c r="AG52" s="26"/>
      <c r="AI52" s="27"/>
    </row>
    <row r="53" spans="1:35">
      <c r="A53" s="16">
        <v>21</v>
      </c>
      <c r="B53" s="21"/>
      <c r="C53" s="51"/>
      <c r="D53" s="19"/>
      <c r="E53" s="19"/>
      <c r="F53" s="23"/>
      <c r="G53" s="24"/>
      <c r="H53" s="24"/>
      <c r="I53" s="24"/>
      <c r="J53" s="18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8">
        <f t="shared" si="2"/>
        <v>0</v>
      </c>
      <c r="AE53" s="18">
        <f t="shared" si="0"/>
        <v>0</v>
      </c>
      <c r="AF53" s="25" t="e">
        <f t="shared" si="1"/>
        <v>#DIV/0!</v>
      </c>
      <c r="AG53" s="26"/>
      <c r="AI53" s="27"/>
    </row>
    <row r="54" spans="1:35">
      <c r="A54" s="16">
        <v>22</v>
      </c>
      <c r="B54" s="21"/>
      <c r="C54" s="51"/>
      <c r="D54" s="19"/>
      <c r="E54" s="19"/>
      <c r="F54" s="23"/>
      <c r="G54" s="24"/>
      <c r="H54" s="24"/>
      <c r="I54" s="24"/>
      <c r="J54" s="18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8">
        <f t="shared" si="2"/>
        <v>0</v>
      </c>
      <c r="AE54" s="18">
        <f t="shared" si="0"/>
        <v>0</v>
      </c>
      <c r="AF54" s="25" t="e">
        <f t="shared" si="1"/>
        <v>#DIV/0!</v>
      </c>
      <c r="AG54" s="26"/>
    </row>
    <row r="55" spans="1:35">
      <c r="A55" s="16">
        <v>23</v>
      </c>
      <c r="B55" s="21"/>
      <c r="C55" s="51"/>
      <c r="D55" s="19"/>
      <c r="E55" s="19"/>
      <c r="F55" s="23"/>
      <c r="G55" s="24"/>
      <c r="H55" s="24"/>
      <c r="I55" s="24"/>
      <c r="J55" s="18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8">
        <f t="shared" si="2"/>
        <v>0</v>
      </c>
      <c r="AE55" s="18">
        <f t="shared" si="0"/>
        <v>0</v>
      </c>
      <c r="AF55" s="25" t="e">
        <f t="shared" si="1"/>
        <v>#DIV/0!</v>
      </c>
      <c r="AG55" s="26"/>
    </row>
    <row r="56" spans="1:35">
      <c r="A56" s="16">
        <v>24</v>
      </c>
      <c r="B56" s="21"/>
      <c r="C56" s="51"/>
      <c r="D56" s="18"/>
      <c r="E56" s="19"/>
      <c r="F56" s="23"/>
      <c r="G56" s="24"/>
      <c r="H56" s="24"/>
      <c r="I56" s="24"/>
      <c r="J56" s="18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8">
        <f t="shared" si="2"/>
        <v>0</v>
      </c>
      <c r="AE56" s="18">
        <f t="shared" si="0"/>
        <v>0</v>
      </c>
      <c r="AF56" s="25" t="e">
        <f t="shared" si="1"/>
        <v>#DIV/0!</v>
      </c>
      <c r="AG56" s="26"/>
    </row>
    <row r="57" spans="1:35">
      <c r="A57" s="16">
        <v>25</v>
      </c>
      <c r="B57" s="21"/>
      <c r="C57" s="51"/>
      <c r="D57" s="18"/>
      <c r="E57" s="19"/>
      <c r="F57" s="23"/>
      <c r="G57" s="24"/>
      <c r="H57" s="24"/>
      <c r="I57" s="24"/>
      <c r="J57" s="18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8">
        <f t="shared" si="2"/>
        <v>0</v>
      </c>
      <c r="AE57" s="18">
        <f t="shared" si="0"/>
        <v>0</v>
      </c>
      <c r="AF57" s="25" t="e">
        <f t="shared" si="1"/>
        <v>#DIV/0!</v>
      </c>
      <c r="AG57" s="26"/>
    </row>
    <row r="58" spans="1:35">
      <c r="A58" s="16">
        <v>26</v>
      </c>
      <c r="B58" s="21"/>
      <c r="C58" s="51"/>
      <c r="D58" s="18"/>
      <c r="E58" s="19"/>
      <c r="F58" s="23"/>
      <c r="G58" s="24"/>
      <c r="H58" s="24"/>
      <c r="I58" s="24"/>
      <c r="J58" s="18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8">
        <f t="shared" si="2"/>
        <v>0</v>
      </c>
      <c r="AE58" s="18">
        <f t="shared" si="0"/>
        <v>0</v>
      </c>
      <c r="AF58" s="25" t="e">
        <f t="shared" si="1"/>
        <v>#DIV/0!</v>
      </c>
      <c r="AG58" s="26"/>
    </row>
    <row r="59" spans="1:35">
      <c r="A59" s="16"/>
      <c r="B59" s="21"/>
      <c r="C59" s="51"/>
      <c r="D59" s="18"/>
      <c r="E59" s="19"/>
      <c r="F59" s="23"/>
      <c r="G59" s="24"/>
      <c r="H59" s="24"/>
      <c r="I59" s="24"/>
      <c r="J59" s="18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8">
        <f t="shared" si="2"/>
        <v>0</v>
      </c>
      <c r="AE59" s="18">
        <f t="shared" si="0"/>
        <v>0</v>
      </c>
      <c r="AF59" s="25" t="e">
        <f t="shared" si="1"/>
        <v>#DIV/0!</v>
      </c>
      <c r="AG59" s="26"/>
    </row>
    <row r="60" spans="1:35">
      <c r="A60" s="16"/>
      <c r="B60" s="21"/>
      <c r="C60" s="51"/>
      <c r="D60" s="18"/>
      <c r="E60" s="19"/>
      <c r="F60" s="23"/>
      <c r="G60" s="24"/>
      <c r="H60" s="24"/>
      <c r="I60" s="24"/>
      <c r="J60" s="18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18">
        <f t="shared" si="2"/>
        <v>0</v>
      </c>
      <c r="AE60" s="18">
        <f t="shared" si="0"/>
        <v>0</v>
      </c>
      <c r="AF60" s="25" t="e">
        <f t="shared" si="1"/>
        <v>#DIV/0!</v>
      </c>
      <c r="AG60" s="26"/>
    </row>
    <row r="61" spans="1:35">
      <c r="A61" s="16"/>
      <c r="B61" s="21"/>
      <c r="C61" s="51"/>
      <c r="D61" s="18"/>
      <c r="E61" s="19"/>
      <c r="F61" s="23"/>
      <c r="G61" s="24"/>
      <c r="H61" s="24"/>
      <c r="I61" s="24"/>
      <c r="J61" s="18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18">
        <f t="shared" si="2"/>
        <v>0</v>
      </c>
      <c r="AE61" s="18">
        <f t="shared" si="0"/>
        <v>0</v>
      </c>
      <c r="AF61" s="25" t="e">
        <f t="shared" si="1"/>
        <v>#DIV/0!</v>
      </c>
      <c r="AG61" s="26"/>
    </row>
    <row r="62" spans="1:35">
      <c r="A62" s="16"/>
      <c r="B62" s="21"/>
      <c r="C62" s="51"/>
      <c r="D62" s="19"/>
      <c r="E62" s="19"/>
      <c r="F62" s="23"/>
      <c r="G62" s="24"/>
      <c r="H62" s="24"/>
      <c r="I62" s="24"/>
      <c r="J62" s="18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18">
        <f t="shared" si="2"/>
        <v>0</v>
      </c>
      <c r="AE62" s="18">
        <f t="shared" si="0"/>
        <v>0</v>
      </c>
      <c r="AF62" s="25" t="e">
        <f t="shared" si="1"/>
        <v>#DIV/0!</v>
      </c>
      <c r="AG62" s="26"/>
    </row>
    <row r="63" spans="1:35">
      <c r="A63" s="16"/>
      <c r="B63" s="21"/>
      <c r="C63" s="51"/>
      <c r="D63" s="19"/>
      <c r="E63" s="19"/>
      <c r="F63" s="23"/>
      <c r="G63" s="24"/>
      <c r="H63" s="24"/>
      <c r="I63" s="24"/>
      <c r="J63" s="18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18">
        <f t="shared" si="2"/>
        <v>0</v>
      </c>
      <c r="AE63" s="18">
        <f t="shared" si="0"/>
        <v>0</v>
      </c>
      <c r="AF63" s="25" t="e">
        <f t="shared" si="1"/>
        <v>#DIV/0!</v>
      </c>
      <c r="AG63" s="26"/>
    </row>
    <row r="64" spans="1:35">
      <c r="A64" s="16"/>
      <c r="B64" s="21"/>
      <c r="C64" s="51"/>
      <c r="D64" s="19"/>
      <c r="E64" s="19"/>
      <c r="F64" s="23"/>
      <c r="G64" s="24"/>
      <c r="H64" s="24"/>
      <c r="I64" s="24"/>
      <c r="J64" s="18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18">
        <f t="shared" si="2"/>
        <v>0</v>
      </c>
      <c r="AE64" s="18">
        <f t="shared" si="0"/>
        <v>0</v>
      </c>
      <c r="AF64" s="25" t="e">
        <f t="shared" si="1"/>
        <v>#DIV/0!</v>
      </c>
      <c r="AG64" s="26"/>
    </row>
    <row r="65" spans="1:52">
      <c r="A65" s="16"/>
      <c r="B65" s="21"/>
      <c r="C65" s="51"/>
      <c r="D65" s="19"/>
      <c r="E65" s="19"/>
      <c r="F65" s="23"/>
      <c r="G65" s="24"/>
      <c r="H65" s="24"/>
      <c r="I65" s="24"/>
      <c r="J65" s="18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18">
        <f t="shared" si="2"/>
        <v>0</v>
      </c>
      <c r="AE65" s="18">
        <f t="shared" si="0"/>
        <v>0</v>
      </c>
      <c r="AF65" s="25" t="e">
        <f t="shared" si="1"/>
        <v>#DIV/0!</v>
      </c>
      <c r="AG65" s="26"/>
    </row>
    <row r="66" spans="1:52">
      <c r="A66" s="16"/>
      <c r="B66" s="21"/>
      <c r="C66" s="51"/>
      <c r="D66" s="19"/>
      <c r="E66" s="19"/>
      <c r="F66" s="23"/>
      <c r="G66" s="24"/>
      <c r="H66" s="24"/>
      <c r="I66" s="24"/>
      <c r="J66" s="18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18">
        <f t="shared" si="2"/>
        <v>0</v>
      </c>
      <c r="AE66" s="18">
        <f t="shared" si="0"/>
        <v>0</v>
      </c>
      <c r="AF66" s="25" t="e">
        <f t="shared" si="1"/>
        <v>#DIV/0!</v>
      </c>
      <c r="AG66" s="26"/>
    </row>
    <row r="67" spans="1:52">
      <c r="A67" s="16"/>
      <c r="B67" s="21"/>
      <c r="C67" s="51"/>
      <c r="D67" s="19"/>
      <c r="E67" s="19"/>
      <c r="F67" s="23"/>
      <c r="G67" s="24"/>
      <c r="H67" s="24"/>
      <c r="I67" s="24"/>
      <c r="J67" s="18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18">
        <f t="shared" si="2"/>
        <v>0</v>
      </c>
      <c r="AE67" s="18">
        <f t="shared" si="0"/>
        <v>0</v>
      </c>
      <c r="AF67" s="25" t="e">
        <f>AE67/AD67</f>
        <v>#DIV/0!</v>
      </c>
      <c r="AG67" s="26"/>
    </row>
    <row r="68" spans="1:52">
      <c r="A68" s="56"/>
      <c r="B68" s="57" t="s">
        <v>29</v>
      </c>
      <c r="C68" s="58"/>
      <c r="D68" s="59"/>
      <c r="E68" s="59"/>
      <c r="F68" s="60"/>
      <c r="G68" s="61"/>
      <c r="H68" s="61"/>
      <c r="I68" s="61"/>
      <c r="J68" s="59"/>
      <c r="K68" s="62"/>
      <c r="L68" s="59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59">
        <f t="shared" si="2"/>
        <v>0</v>
      </c>
      <c r="AE68" s="59">
        <f t="shared" ref="AE68" si="6">F68+H68+J68</f>
        <v>0</v>
      </c>
      <c r="AF68" s="63" t="e">
        <f t="shared" si="1"/>
        <v>#DIV/0!</v>
      </c>
      <c r="AG68" s="64"/>
    </row>
    <row r="69" spans="1:52">
      <c r="A69" s="16"/>
      <c r="B69" s="17"/>
      <c r="C69" s="51"/>
      <c r="D69" s="18"/>
      <c r="E69" s="18"/>
      <c r="F69" s="65"/>
      <c r="G69" s="24"/>
      <c r="H69" s="24"/>
      <c r="I69" s="24"/>
      <c r="J69" s="18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18"/>
      <c r="AE69" s="18"/>
      <c r="AF69" s="25"/>
      <c r="AG69" s="26"/>
    </row>
    <row r="70" spans="1:52" s="69" customFormat="1">
      <c r="A70" s="66"/>
      <c r="B70" s="66" t="s">
        <v>30</v>
      </c>
      <c r="C70" s="51">
        <f t="shared" ref="C70:AC70" si="7">SUM(C9:C68)</f>
        <v>75293600</v>
      </c>
      <c r="D70" s="51">
        <f t="shared" si="7"/>
        <v>75293600</v>
      </c>
      <c r="E70" s="51">
        <f t="shared" si="7"/>
        <v>0</v>
      </c>
      <c r="F70" s="51">
        <f t="shared" si="7"/>
        <v>10383745.25233645</v>
      </c>
      <c r="G70" s="51">
        <f t="shared" si="7"/>
        <v>0</v>
      </c>
      <c r="H70" s="51">
        <f t="shared" si="7"/>
        <v>0</v>
      </c>
      <c r="I70" s="51">
        <f t="shared" si="7"/>
        <v>0</v>
      </c>
      <c r="J70" s="51">
        <f t="shared" si="7"/>
        <v>0</v>
      </c>
      <c r="K70" s="51">
        <f t="shared" si="7"/>
        <v>0</v>
      </c>
      <c r="L70" s="51">
        <f>SUM(L9:L68)</f>
        <v>0</v>
      </c>
      <c r="M70" s="51">
        <f t="shared" si="7"/>
        <v>0</v>
      </c>
      <c r="N70" s="51">
        <f t="shared" si="7"/>
        <v>0</v>
      </c>
      <c r="O70" s="51">
        <f t="shared" si="7"/>
        <v>0</v>
      </c>
      <c r="P70" s="51">
        <f t="shared" si="7"/>
        <v>0</v>
      </c>
      <c r="Q70" s="51">
        <f t="shared" si="7"/>
        <v>0</v>
      </c>
      <c r="R70" s="51">
        <f t="shared" si="7"/>
        <v>0</v>
      </c>
      <c r="S70" s="51">
        <f t="shared" si="7"/>
        <v>0</v>
      </c>
      <c r="T70" s="51">
        <f t="shared" si="7"/>
        <v>0</v>
      </c>
      <c r="U70" s="51">
        <f t="shared" si="7"/>
        <v>0</v>
      </c>
      <c r="V70" s="51">
        <f t="shared" si="7"/>
        <v>0</v>
      </c>
      <c r="W70" s="51">
        <f t="shared" si="7"/>
        <v>0</v>
      </c>
      <c r="X70" s="51">
        <f t="shared" si="7"/>
        <v>0</v>
      </c>
      <c r="Y70" s="51">
        <f t="shared" si="7"/>
        <v>0</v>
      </c>
      <c r="Z70" s="51">
        <f t="shared" si="7"/>
        <v>0</v>
      </c>
      <c r="AA70" s="51">
        <f t="shared" si="7"/>
        <v>0</v>
      </c>
      <c r="AB70" s="51">
        <f t="shared" si="7"/>
        <v>0</v>
      </c>
      <c r="AC70" s="51">
        <f t="shared" si="7"/>
        <v>0</v>
      </c>
      <c r="AD70" s="51">
        <f>SUM(AD9:AD38)</f>
        <v>10338745.25233645</v>
      </c>
      <c r="AE70" s="51">
        <f>SUM(AE9:AE38)</f>
        <v>10338745.25233645</v>
      </c>
      <c r="AF70" s="67">
        <f>AE70/AD70</f>
        <v>1</v>
      </c>
      <c r="AG70" s="68"/>
    </row>
    <row r="71" spans="1:52" s="69" customFormat="1">
      <c r="A71" s="1"/>
      <c r="B71" s="1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68"/>
      <c r="AG71" s="68"/>
    </row>
    <row r="72" spans="1:52">
      <c r="A72" s="71"/>
      <c r="B72" s="2" t="s">
        <v>31</v>
      </c>
      <c r="C72" s="2"/>
      <c r="D72" s="72">
        <f>D70</f>
        <v>75293600</v>
      </c>
      <c r="E72" s="73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2"/>
      <c r="AE72" s="2"/>
    </row>
    <row r="73" spans="1:52" ht="19.5" thickBot="1">
      <c r="B73" s="69" t="s">
        <v>32</v>
      </c>
      <c r="C73" s="2"/>
      <c r="D73" s="76">
        <f>SUM(D72*0.3)</f>
        <v>22588080</v>
      </c>
      <c r="E73" s="77"/>
      <c r="AD73" s="69"/>
      <c r="AE73" s="2"/>
    </row>
    <row r="74" spans="1:52" ht="19.5" thickTop="1">
      <c r="C74" s="2"/>
      <c r="D74" s="2"/>
      <c r="E74" s="78"/>
      <c r="AD74" s="2"/>
      <c r="AE74" s="2"/>
      <c r="AF74" s="79"/>
      <c r="AG74" s="79"/>
    </row>
    <row r="75" spans="1:52">
      <c r="B75" s="2" t="s">
        <v>495</v>
      </c>
      <c r="C75" s="2"/>
      <c r="D75" s="77">
        <f>SUM(AE70)</f>
        <v>10338745.25233645</v>
      </c>
      <c r="E75" s="79"/>
      <c r="L75" s="51"/>
    </row>
    <row r="76" spans="1:52">
      <c r="B76" s="69" t="s">
        <v>33</v>
      </c>
      <c r="D76" s="80">
        <f>SUM(D75/D72)</f>
        <v>0.13731240440537376</v>
      </c>
    </row>
    <row r="78" spans="1:52" s="74" customFormat="1">
      <c r="A78" s="2"/>
      <c r="B78" s="2" t="s">
        <v>34</v>
      </c>
      <c r="C78" s="2"/>
      <c r="D78" s="78">
        <f>D75-D73</f>
        <v>-12249334.74766355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81" spans="1:62" s="74" customFormat="1">
      <c r="A81" s="2"/>
      <c r="B81" s="2"/>
      <c r="C81" s="8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7F43-1E20-4C16-B73B-DC8D779A05C6}">
  <sheetPr>
    <tabColor rgb="FFFF0000"/>
  </sheetPr>
  <dimension ref="A2:N46"/>
  <sheetViews>
    <sheetView zoomScale="70" zoomScaleNormal="70" workbookViewId="0">
      <selection activeCell="L16" sqref="L16:L19"/>
    </sheetView>
  </sheetViews>
  <sheetFormatPr defaultColWidth="9.125" defaultRowHeight="21"/>
  <cols>
    <col min="1" max="1" width="6.875" style="121" bestFit="1" customWidth="1"/>
    <col min="2" max="2" width="50.125" style="83" customWidth="1"/>
    <col min="3" max="3" width="14.375" style="123" customWidth="1"/>
    <col min="4" max="4" width="15.75" style="123" customWidth="1"/>
    <col min="5" max="5" width="13.125" style="83" customWidth="1"/>
    <col min="6" max="6" width="26.375" style="83" customWidth="1"/>
    <col min="7" max="7" width="15.125" style="123" customWidth="1"/>
    <col min="8" max="8" width="20.375" style="124" customWidth="1"/>
    <col min="9" max="9" width="18.625" style="125" customWidth="1"/>
    <col min="10" max="10" width="21" style="83" customWidth="1"/>
    <col min="11" max="11" width="28.25" style="83" customWidth="1"/>
    <col min="12" max="12" width="24.375" style="83" customWidth="1"/>
    <col min="13" max="13" width="12" style="83" customWidth="1"/>
    <col min="14" max="14" width="13.25" style="83" customWidth="1"/>
    <col min="15" max="16384" width="9.125" style="83"/>
  </cols>
  <sheetData>
    <row r="2" spans="1:14">
      <c r="A2" s="433" t="s">
        <v>461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82" t="s">
        <v>35</v>
      </c>
    </row>
    <row r="3" spans="1:1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4">
      <c r="A4" s="433" t="s">
        <v>462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4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4" ht="42">
      <c r="A6" s="434" t="s">
        <v>36</v>
      </c>
      <c r="B6" s="434" t="s">
        <v>37</v>
      </c>
      <c r="C6" s="84" t="s">
        <v>38</v>
      </c>
      <c r="D6" s="85" t="s">
        <v>39</v>
      </c>
      <c r="E6" s="434" t="s">
        <v>40</v>
      </c>
      <c r="F6" s="434" t="s">
        <v>41</v>
      </c>
      <c r="G6" s="434"/>
      <c r="H6" s="435" t="s">
        <v>42</v>
      </c>
      <c r="I6" s="435"/>
      <c r="J6" s="436" t="s">
        <v>43</v>
      </c>
      <c r="K6" s="436" t="s">
        <v>44</v>
      </c>
      <c r="L6" s="430" t="s">
        <v>45</v>
      </c>
      <c r="M6" s="431" t="s">
        <v>46</v>
      </c>
      <c r="N6" s="432"/>
    </row>
    <row r="7" spans="1:14" ht="63">
      <c r="A7" s="366"/>
      <c r="B7" s="366"/>
      <c r="C7" s="86" t="s">
        <v>47</v>
      </c>
      <c r="D7" s="87" t="s">
        <v>48</v>
      </c>
      <c r="E7" s="366"/>
      <c r="F7" s="88" t="s">
        <v>49</v>
      </c>
      <c r="G7" s="89" t="s">
        <v>50</v>
      </c>
      <c r="H7" s="90" t="s">
        <v>51</v>
      </c>
      <c r="I7" s="91" t="s">
        <v>52</v>
      </c>
      <c r="J7" s="434"/>
      <c r="K7" s="434"/>
      <c r="L7" s="437"/>
      <c r="M7" s="92" t="s">
        <v>53</v>
      </c>
      <c r="N7" s="93" t="s">
        <v>54</v>
      </c>
    </row>
    <row r="8" spans="1:14">
      <c r="A8" s="339">
        <v>1</v>
      </c>
      <c r="B8" s="94" t="s">
        <v>464</v>
      </c>
      <c r="C8" s="352">
        <v>45000</v>
      </c>
      <c r="D8" s="342">
        <v>48150</v>
      </c>
      <c r="E8" s="339" t="s">
        <v>56</v>
      </c>
      <c r="F8" s="88" t="s">
        <v>57</v>
      </c>
      <c r="G8" s="89">
        <v>48150</v>
      </c>
      <c r="H8" s="369" t="s">
        <v>57</v>
      </c>
      <c r="I8" s="327">
        <v>48150</v>
      </c>
      <c r="J8" s="96"/>
      <c r="K8" s="96"/>
      <c r="L8" s="330" t="s">
        <v>58</v>
      </c>
      <c r="M8" s="333" t="s">
        <v>59</v>
      </c>
      <c r="N8" s="345"/>
    </row>
    <row r="9" spans="1:14">
      <c r="A9" s="340"/>
      <c r="B9" s="97" t="s">
        <v>465</v>
      </c>
      <c r="C9" s="353"/>
      <c r="D9" s="343"/>
      <c r="E9" s="340"/>
      <c r="F9" s="348" t="s">
        <v>64</v>
      </c>
      <c r="G9" s="350">
        <v>50825</v>
      </c>
      <c r="H9" s="370"/>
      <c r="I9" s="328"/>
      <c r="J9" s="98" t="s">
        <v>61</v>
      </c>
      <c r="K9" s="100" t="s">
        <v>466</v>
      </c>
      <c r="L9" s="331"/>
      <c r="M9" s="334"/>
      <c r="N9" s="346"/>
    </row>
    <row r="10" spans="1:14">
      <c r="A10" s="340"/>
      <c r="B10" s="97"/>
      <c r="C10" s="353"/>
      <c r="D10" s="343"/>
      <c r="E10" s="340"/>
      <c r="F10" s="348"/>
      <c r="G10" s="350"/>
      <c r="H10" s="370"/>
      <c r="I10" s="328"/>
      <c r="J10" s="98" t="s">
        <v>65</v>
      </c>
      <c r="K10" s="97" t="s">
        <v>467</v>
      </c>
      <c r="L10" s="331"/>
      <c r="M10" s="334"/>
      <c r="N10" s="346"/>
    </row>
    <row r="11" spans="1:14">
      <c r="A11" s="341"/>
      <c r="B11" s="102"/>
      <c r="C11" s="354"/>
      <c r="D11" s="344"/>
      <c r="E11" s="341"/>
      <c r="F11" s="147" t="s">
        <v>60</v>
      </c>
      <c r="G11" s="135">
        <v>51360</v>
      </c>
      <c r="H11" s="371"/>
      <c r="I11" s="329"/>
      <c r="J11" s="103"/>
      <c r="K11" s="103"/>
      <c r="L11" s="332"/>
      <c r="M11" s="335"/>
      <c r="N11" s="347"/>
    </row>
    <row r="12" spans="1:14">
      <c r="A12" s="339">
        <v>2</v>
      </c>
      <c r="B12" s="94" t="s">
        <v>468</v>
      </c>
      <c r="C12" s="352">
        <v>25000</v>
      </c>
      <c r="D12" s="342">
        <v>24984.5</v>
      </c>
      <c r="E12" s="339" t="s">
        <v>56</v>
      </c>
      <c r="F12" s="366" t="s">
        <v>469</v>
      </c>
      <c r="G12" s="327">
        <v>24984.5</v>
      </c>
      <c r="H12" s="366" t="s">
        <v>469</v>
      </c>
      <c r="I12" s="327">
        <v>24984.5</v>
      </c>
      <c r="J12" s="96"/>
      <c r="K12" s="96"/>
      <c r="L12" s="330" t="s">
        <v>515</v>
      </c>
      <c r="M12" s="333" t="s">
        <v>59</v>
      </c>
      <c r="N12" s="345"/>
    </row>
    <row r="13" spans="1:14">
      <c r="A13" s="340"/>
      <c r="B13" s="97" t="s">
        <v>470</v>
      </c>
      <c r="C13" s="353"/>
      <c r="D13" s="343"/>
      <c r="E13" s="340"/>
      <c r="F13" s="367"/>
      <c r="G13" s="328"/>
      <c r="H13" s="367"/>
      <c r="I13" s="328"/>
      <c r="J13" s="98" t="s">
        <v>61</v>
      </c>
      <c r="K13" s="100" t="s">
        <v>471</v>
      </c>
      <c r="L13" s="331"/>
      <c r="M13" s="334"/>
      <c r="N13" s="346"/>
    </row>
    <row r="14" spans="1:14">
      <c r="A14" s="340"/>
      <c r="B14" s="97"/>
      <c r="C14" s="353"/>
      <c r="D14" s="343"/>
      <c r="E14" s="340"/>
      <c r="F14" s="98" t="s">
        <v>472</v>
      </c>
      <c r="G14" s="99">
        <v>27285</v>
      </c>
      <c r="H14" s="367"/>
      <c r="I14" s="328"/>
      <c r="J14" s="98" t="s">
        <v>65</v>
      </c>
      <c r="K14" s="97" t="s">
        <v>473</v>
      </c>
      <c r="L14" s="331"/>
      <c r="M14" s="334"/>
      <c r="N14" s="346"/>
    </row>
    <row r="15" spans="1:14">
      <c r="A15" s="341"/>
      <c r="B15" s="102"/>
      <c r="C15" s="354"/>
      <c r="D15" s="344"/>
      <c r="E15" s="341"/>
      <c r="F15" s="103" t="s">
        <v>474</v>
      </c>
      <c r="G15" s="135">
        <v>27820</v>
      </c>
      <c r="H15" s="368"/>
      <c r="I15" s="329"/>
      <c r="J15" s="103"/>
      <c r="K15" s="103"/>
      <c r="L15" s="332"/>
      <c r="M15" s="335"/>
      <c r="N15" s="347"/>
    </row>
    <row r="16" spans="1:14">
      <c r="A16" s="339">
        <v>3</v>
      </c>
      <c r="B16" s="94" t="s">
        <v>475</v>
      </c>
      <c r="C16" s="342">
        <v>9800</v>
      </c>
      <c r="D16" s="342">
        <v>10486</v>
      </c>
      <c r="E16" s="364" t="s">
        <v>56</v>
      </c>
      <c r="F16" s="324" t="s">
        <v>469</v>
      </c>
      <c r="G16" s="327">
        <v>10486</v>
      </c>
      <c r="H16" s="388" t="s">
        <v>469</v>
      </c>
      <c r="I16" s="327">
        <v>10486</v>
      </c>
      <c r="J16" s="96"/>
      <c r="K16" s="96"/>
      <c r="L16" s="330" t="s">
        <v>124</v>
      </c>
      <c r="M16" s="333" t="s">
        <v>59</v>
      </c>
      <c r="N16" s="333"/>
    </row>
    <row r="17" spans="1:14">
      <c r="A17" s="340"/>
      <c r="B17" s="97" t="s">
        <v>476</v>
      </c>
      <c r="C17" s="343"/>
      <c r="D17" s="343"/>
      <c r="E17" s="360"/>
      <c r="F17" s="325"/>
      <c r="G17" s="328"/>
      <c r="H17" s="389"/>
      <c r="I17" s="328"/>
      <c r="J17" s="98" t="s">
        <v>61</v>
      </c>
      <c r="K17" s="100" t="s">
        <v>477</v>
      </c>
      <c r="L17" s="331"/>
      <c r="M17" s="334"/>
      <c r="N17" s="334"/>
    </row>
    <row r="18" spans="1:14">
      <c r="A18" s="340"/>
      <c r="B18" s="97" t="s">
        <v>478</v>
      </c>
      <c r="C18" s="343"/>
      <c r="D18" s="343"/>
      <c r="E18" s="360"/>
      <c r="F18" s="98" t="s">
        <v>472</v>
      </c>
      <c r="G18" s="99">
        <v>11235</v>
      </c>
      <c r="H18" s="389"/>
      <c r="I18" s="328"/>
      <c r="J18" s="98" t="s">
        <v>65</v>
      </c>
      <c r="K18" s="97" t="s">
        <v>473</v>
      </c>
      <c r="L18" s="331"/>
      <c r="M18" s="334"/>
      <c r="N18" s="334"/>
    </row>
    <row r="19" spans="1:14">
      <c r="A19" s="341"/>
      <c r="B19" s="102"/>
      <c r="C19" s="344"/>
      <c r="D19" s="344"/>
      <c r="E19" s="361"/>
      <c r="F19" s="103" t="s">
        <v>474</v>
      </c>
      <c r="G19" s="135">
        <v>12305</v>
      </c>
      <c r="H19" s="390"/>
      <c r="I19" s="329"/>
      <c r="J19" s="103"/>
      <c r="K19" s="103"/>
      <c r="L19" s="332"/>
      <c r="M19" s="335"/>
      <c r="N19" s="335"/>
    </row>
    <row r="20" spans="1:14" ht="21.75" customHeight="1">
      <c r="A20" s="339">
        <v>4</v>
      </c>
      <c r="B20" s="97" t="s">
        <v>170</v>
      </c>
      <c r="C20" s="343">
        <v>325680</v>
      </c>
      <c r="D20" s="343">
        <v>348477.6</v>
      </c>
      <c r="E20" s="360" t="s">
        <v>56</v>
      </c>
      <c r="F20" s="324" t="s">
        <v>222</v>
      </c>
      <c r="G20" s="327">
        <v>341557.91</v>
      </c>
      <c r="H20" s="324" t="s">
        <v>222</v>
      </c>
      <c r="I20" s="328">
        <v>341557.91</v>
      </c>
      <c r="J20" s="98"/>
      <c r="K20" s="98"/>
      <c r="L20" s="330" t="s">
        <v>172</v>
      </c>
      <c r="M20" s="333" t="s">
        <v>59</v>
      </c>
      <c r="N20" s="333"/>
    </row>
    <row r="21" spans="1:14" ht="21.75" customHeight="1">
      <c r="A21" s="340"/>
      <c r="B21" s="97" t="s">
        <v>225</v>
      </c>
      <c r="C21" s="343"/>
      <c r="D21" s="343"/>
      <c r="E21" s="360"/>
      <c r="F21" s="325"/>
      <c r="G21" s="328"/>
      <c r="H21" s="325"/>
      <c r="I21" s="328"/>
      <c r="J21" s="98" t="s">
        <v>71</v>
      </c>
      <c r="K21" s="100" t="s">
        <v>479</v>
      </c>
      <c r="L21" s="331"/>
      <c r="M21" s="334"/>
      <c r="N21" s="334"/>
    </row>
    <row r="22" spans="1:14" ht="21.75" customHeight="1">
      <c r="A22" s="340"/>
      <c r="B22" s="97" t="s">
        <v>480</v>
      </c>
      <c r="C22" s="343"/>
      <c r="D22" s="343"/>
      <c r="E22" s="360"/>
      <c r="F22" s="325"/>
      <c r="G22" s="328"/>
      <c r="H22" s="325"/>
      <c r="I22" s="328"/>
      <c r="J22" s="98" t="s">
        <v>65</v>
      </c>
      <c r="K22" s="97" t="s">
        <v>481</v>
      </c>
      <c r="L22" s="331"/>
      <c r="M22" s="334"/>
      <c r="N22" s="334"/>
    </row>
    <row r="23" spans="1:14" ht="21.75" customHeight="1">
      <c r="A23" s="341"/>
      <c r="B23" s="97"/>
      <c r="C23" s="344"/>
      <c r="D23" s="344"/>
      <c r="E23" s="361"/>
      <c r="F23" s="326"/>
      <c r="G23" s="329"/>
      <c r="H23" s="326"/>
      <c r="I23" s="329"/>
      <c r="J23" s="98"/>
      <c r="K23" s="98"/>
      <c r="L23" s="332"/>
      <c r="M23" s="335"/>
      <c r="N23" s="335"/>
    </row>
    <row r="24" spans="1:14" ht="21" customHeight="1">
      <c r="A24" s="339">
        <v>5</v>
      </c>
      <c r="B24" s="94" t="s">
        <v>482</v>
      </c>
      <c r="C24" s="352">
        <v>2000</v>
      </c>
      <c r="D24" s="342">
        <v>1583.6</v>
      </c>
      <c r="E24" s="339" t="s">
        <v>56</v>
      </c>
      <c r="F24" s="105" t="s">
        <v>76</v>
      </c>
      <c r="G24" s="89">
        <v>1583.6</v>
      </c>
      <c r="H24" s="355" t="s">
        <v>76</v>
      </c>
      <c r="I24" s="327">
        <v>1583.6</v>
      </c>
      <c r="J24" s="96"/>
      <c r="K24" s="96"/>
      <c r="L24" s="330" t="s">
        <v>124</v>
      </c>
      <c r="M24" s="333" t="s">
        <v>59</v>
      </c>
      <c r="N24" s="345"/>
    </row>
    <row r="25" spans="1:14" ht="21" customHeight="1">
      <c r="A25" s="340"/>
      <c r="B25" s="97" t="s">
        <v>483</v>
      </c>
      <c r="C25" s="353"/>
      <c r="D25" s="343"/>
      <c r="E25" s="340"/>
      <c r="F25" s="107" t="s">
        <v>79</v>
      </c>
      <c r="G25" s="99">
        <v>1658.5</v>
      </c>
      <c r="H25" s="356"/>
      <c r="I25" s="328"/>
      <c r="J25" s="98" t="s">
        <v>61</v>
      </c>
      <c r="K25" s="100" t="s">
        <v>484</v>
      </c>
      <c r="L25" s="331"/>
      <c r="M25" s="334"/>
      <c r="N25" s="346"/>
    </row>
    <row r="26" spans="1:14" ht="21" customHeight="1">
      <c r="A26" s="340"/>
      <c r="B26" s="97"/>
      <c r="C26" s="353"/>
      <c r="D26" s="343"/>
      <c r="E26" s="340"/>
      <c r="F26" s="348" t="s">
        <v>82</v>
      </c>
      <c r="G26" s="350">
        <v>1819</v>
      </c>
      <c r="H26" s="356"/>
      <c r="I26" s="328"/>
      <c r="J26" s="98" t="s">
        <v>65</v>
      </c>
      <c r="K26" s="97" t="s">
        <v>485</v>
      </c>
      <c r="L26" s="331"/>
      <c r="M26" s="334"/>
      <c r="N26" s="346"/>
    </row>
    <row r="27" spans="1:14" ht="21.75" customHeight="1">
      <c r="A27" s="341"/>
      <c r="B27" s="102"/>
      <c r="C27" s="354"/>
      <c r="D27" s="344"/>
      <c r="E27" s="341"/>
      <c r="F27" s="349"/>
      <c r="G27" s="351"/>
      <c r="H27" s="357"/>
      <c r="I27" s="329"/>
      <c r="J27" s="103"/>
      <c r="K27" s="103"/>
      <c r="L27" s="332"/>
      <c r="M27" s="335"/>
      <c r="N27" s="347"/>
    </row>
    <row r="28" spans="1:14" ht="21.75" customHeight="1">
      <c r="A28" s="114"/>
      <c r="B28" s="322" t="s">
        <v>486</v>
      </c>
      <c r="C28" s="322"/>
      <c r="D28" s="322"/>
      <c r="E28" s="322"/>
      <c r="F28" s="322"/>
      <c r="G28" s="322"/>
      <c r="H28" s="323"/>
      <c r="I28" s="115">
        <f>SUM(I8:I27)</f>
        <v>426762.00999999995</v>
      </c>
      <c r="J28" s="116"/>
      <c r="K28" s="117"/>
      <c r="L28" s="118"/>
      <c r="M28" s="119"/>
      <c r="N28" s="120"/>
    </row>
    <row r="30" spans="1:14">
      <c r="C30" s="122"/>
    </row>
    <row r="32" spans="1:14">
      <c r="A32" s="433" t="s">
        <v>463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82" t="s">
        <v>35</v>
      </c>
    </row>
    <row r="33" spans="1:14">
      <c r="A33" s="433" t="s">
        <v>2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</row>
    <row r="34" spans="1:14">
      <c r="A34" s="433" t="s">
        <v>462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</row>
    <row r="36" spans="1:14" ht="42">
      <c r="A36" s="434" t="s">
        <v>36</v>
      </c>
      <c r="B36" s="434" t="s">
        <v>37</v>
      </c>
      <c r="C36" s="84" t="s">
        <v>38</v>
      </c>
      <c r="D36" s="85" t="s">
        <v>39</v>
      </c>
      <c r="E36" s="434" t="s">
        <v>40</v>
      </c>
      <c r="F36" s="434" t="s">
        <v>41</v>
      </c>
      <c r="G36" s="434"/>
      <c r="H36" s="435" t="s">
        <v>42</v>
      </c>
      <c r="I36" s="435"/>
      <c r="J36" s="436" t="s">
        <v>43</v>
      </c>
      <c r="K36" s="436" t="s">
        <v>44</v>
      </c>
      <c r="L36" s="430" t="s">
        <v>45</v>
      </c>
      <c r="M36" s="431" t="s">
        <v>46</v>
      </c>
      <c r="N36" s="432"/>
    </row>
    <row r="37" spans="1:14" ht="63">
      <c r="A37" s="434"/>
      <c r="B37" s="434"/>
      <c r="C37" s="185" t="s">
        <v>47</v>
      </c>
      <c r="D37" s="186" t="s">
        <v>48</v>
      </c>
      <c r="E37" s="434"/>
      <c r="F37" s="187" t="s">
        <v>49</v>
      </c>
      <c r="G37" s="84" t="s">
        <v>50</v>
      </c>
      <c r="H37" s="188" t="s">
        <v>51</v>
      </c>
      <c r="I37" s="189" t="s">
        <v>52</v>
      </c>
      <c r="J37" s="434"/>
      <c r="K37" s="434"/>
      <c r="L37" s="430"/>
      <c r="M37" s="190" t="s">
        <v>53</v>
      </c>
      <c r="N37" s="191" t="s">
        <v>54</v>
      </c>
    </row>
    <row r="38" spans="1:14">
      <c r="A38" s="364">
        <v>1</v>
      </c>
      <c r="B38" s="94" t="s">
        <v>185</v>
      </c>
      <c r="C38" s="342">
        <v>8198130.8399999999</v>
      </c>
      <c r="D38" s="394">
        <v>8763737</v>
      </c>
      <c r="E38" s="339" t="s">
        <v>186</v>
      </c>
      <c r="F38" s="324" t="s">
        <v>68</v>
      </c>
      <c r="G38" s="327">
        <v>8700000</v>
      </c>
      <c r="H38" s="324" t="s">
        <v>68</v>
      </c>
      <c r="I38" s="327">
        <v>8694862</v>
      </c>
      <c r="J38" s="96"/>
      <c r="K38" s="96"/>
      <c r="L38" s="330" t="s">
        <v>187</v>
      </c>
      <c r="M38" s="333" t="s">
        <v>59</v>
      </c>
      <c r="N38" s="333"/>
    </row>
    <row r="39" spans="1:14">
      <c r="A39" s="360"/>
      <c r="B39" s="97" t="s">
        <v>166</v>
      </c>
      <c r="C39" s="343"/>
      <c r="D39" s="395"/>
      <c r="E39" s="340"/>
      <c r="F39" s="325"/>
      <c r="G39" s="328"/>
      <c r="H39" s="325"/>
      <c r="I39" s="328"/>
      <c r="J39" s="98" t="s">
        <v>71</v>
      </c>
      <c r="K39" s="100" t="s">
        <v>487</v>
      </c>
      <c r="L39" s="331"/>
      <c r="M39" s="334"/>
      <c r="N39" s="334"/>
    </row>
    <row r="40" spans="1:14">
      <c r="A40" s="360"/>
      <c r="B40" s="97" t="s">
        <v>488</v>
      </c>
      <c r="C40" s="343"/>
      <c r="D40" s="395"/>
      <c r="E40" s="340"/>
      <c r="F40" s="325"/>
      <c r="G40" s="328"/>
      <c r="H40" s="325"/>
      <c r="I40" s="328"/>
      <c r="J40" s="98" t="s">
        <v>65</v>
      </c>
      <c r="K40" s="97" t="s">
        <v>489</v>
      </c>
      <c r="L40" s="331"/>
      <c r="M40" s="334"/>
      <c r="N40" s="334"/>
    </row>
    <row r="41" spans="1:14">
      <c r="A41" s="360"/>
      <c r="B41" s="97"/>
      <c r="C41" s="343"/>
      <c r="D41" s="395"/>
      <c r="E41" s="340"/>
      <c r="F41" s="326"/>
      <c r="G41" s="329"/>
      <c r="H41" s="326"/>
      <c r="I41" s="328"/>
      <c r="J41" s="98"/>
      <c r="K41" s="97"/>
      <c r="L41" s="332"/>
      <c r="M41" s="335"/>
      <c r="N41" s="335"/>
    </row>
    <row r="42" spans="1:14">
      <c r="A42" s="364">
        <v>2</v>
      </c>
      <c r="B42" s="94" t="s">
        <v>191</v>
      </c>
      <c r="C42" s="342">
        <v>2890000</v>
      </c>
      <c r="D42" s="342">
        <v>3092023.94</v>
      </c>
      <c r="E42" s="364" t="s">
        <v>186</v>
      </c>
      <c r="F42" s="324" t="s">
        <v>192</v>
      </c>
      <c r="G42" s="327">
        <v>1989898.98</v>
      </c>
      <c r="H42" s="324" t="s">
        <v>192</v>
      </c>
      <c r="I42" s="327">
        <v>1988983.41</v>
      </c>
      <c r="J42" s="141"/>
      <c r="K42" s="142"/>
      <c r="L42" s="330" t="s">
        <v>193</v>
      </c>
      <c r="M42" s="333" t="s">
        <v>59</v>
      </c>
      <c r="N42" s="345"/>
    </row>
    <row r="43" spans="1:14">
      <c r="A43" s="360"/>
      <c r="B43" s="97" t="s">
        <v>166</v>
      </c>
      <c r="C43" s="343"/>
      <c r="D43" s="343"/>
      <c r="E43" s="360"/>
      <c r="F43" s="325"/>
      <c r="G43" s="328"/>
      <c r="H43" s="325"/>
      <c r="I43" s="328"/>
      <c r="J43" s="98" t="s">
        <v>61</v>
      </c>
      <c r="K43" s="100" t="s">
        <v>490</v>
      </c>
      <c r="L43" s="331"/>
      <c r="M43" s="334"/>
      <c r="N43" s="346"/>
    </row>
    <row r="44" spans="1:14">
      <c r="A44" s="360"/>
      <c r="B44" s="97" t="s">
        <v>491</v>
      </c>
      <c r="C44" s="343"/>
      <c r="D44" s="343"/>
      <c r="E44" s="360"/>
      <c r="F44" s="348" t="s">
        <v>391</v>
      </c>
      <c r="G44" s="350">
        <v>2195000</v>
      </c>
      <c r="H44" s="325"/>
      <c r="I44" s="328"/>
      <c r="J44" s="98" t="s">
        <v>65</v>
      </c>
      <c r="K44" s="97" t="s">
        <v>492</v>
      </c>
      <c r="L44" s="331"/>
      <c r="M44" s="334"/>
      <c r="N44" s="346"/>
    </row>
    <row r="45" spans="1:14">
      <c r="A45" s="361"/>
      <c r="B45" s="102"/>
      <c r="C45" s="344"/>
      <c r="D45" s="344"/>
      <c r="E45" s="361"/>
      <c r="F45" s="349"/>
      <c r="G45" s="351"/>
      <c r="H45" s="326"/>
      <c r="I45" s="329"/>
      <c r="J45" s="145"/>
      <c r="K45" s="146"/>
      <c r="L45" s="332"/>
      <c r="M45" s="335"/>
      <c r="N45" s="347"/>
    </row>
    <row r="46" spans="1:14" ht="21.75" customHeight="1">
      <c r="A46" s="192"/>
      <c r="B46" s="428" t="s">
        <v>493</v>
      </c>
      <c r="C46" s="428"/>
      <c r="D46" s="428"/>
      <c r="E46" s="428"/>
      <c r="F46" s="428"/>
      <c r="G46" s="428"/>
      <c r="H46" s="429"/>
      <c r="I46" s="193">
        <f>SUM(I38:I45)</f>
        <v>10683845.41</v>
      </c>
      <c r="J46" s="194"/>
      <c r="K46" s="195"/>
      <c r="L46" s="196"/>
      <c r="M46" s="197"/>
      <c r="N46" s="198"/>
    </row>
  </sheetData>
  <mergeCells count="105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N8:N11"/>
    <mergeCell ref="A12:A15"/>
    <mergeCell ref="C12:C15"/>
    <mergeCell ref="D12:D15"/>
    <mergeCell ref="E12:E15"/>
    <mergeCell ref="H12:H15"/>
    <mergeCell ref="L6:L7"/>
    <mergeCell ref="M6:N6"/>
    <mergeCell ref="A8:A11"/>
    <mergeCell ref="C8:C11"/>
    <mergeCell ref="D8:D11"/>
    <mergeCell ref="E8:E11"/>
    <mergeCell ref="H8:H11"/>
    <mergeCell ref="I8:I11"/>
    <mergeCell ref="L8:L11"/>
    <mergeCell ref="M8:M11"/>
    <mergeCell ref="I12:I15"/>
    <mergeCell ref="L12:L15"/>
    <mergeCell ref="M12:M15"/>
    <mergeCell ref="N12:N15"/>
    <mergeCell ref="A16:A19"/>
    <mergeCell ref="C16:C19"/>
    <mergeCell ref="D16:D19"/>
    <mergeCell ref="E16:E19"/>
    <mergeCell ref="H16:H19"/>
    <mergeCell ref="I16:I19"/>
    <mergeCell ref="L20:L23"/>
    <mergeCell ref="M20:M23"/>
    <mergeCell ref="N20:N23"/>
    <mergeCell ref="L16:L19"/>
    <mergeCell ref="M16:M19"/>
    <mergeCell ref="N16:N19"/>
    <mergeCell ref="A20:A23"/>
    <mergeCell ref="C20:C23"/>
    <mergeCell ref="D20:D23"/>
    <mergeCell ref="E20:E23"/>
    <mergeCell ref="H20:H23"/>
    <mergeCell ref="F26:F27"/>
    <mergeCell ref="G26:G27"/>
    <mergeCell ref="A24:A27"/>
    <mergeCell ref="C24:C27"/>
    <mergeCell ref="D24:D27"/>
    <mergeCell ref="E24:E27"/>
    <mergeCell ref="H24:H27"/>
    <mergeCell ref="I24:I27"/>
    <mergeCell ref="I20:I23"/>
    <mergeCell ref="L36:L37"/>
    <mergeCell ref="M36:N36"/>
    <mergeCell ref="F9:F10"/>
    <mergeCell ref="G9:G10"/>
    <mergeCell ref="F12:F13"/>
    <mergeCell ref="G12:G13"/>
    <mergeCell ref="F16:F17"/>
    <mergeCell ref="G16:G17"/>
    <mergeCell ref="F20:F23"/>
    <mergeCell ref="G20:G23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K36:K37"/>
    <mergeCell ref="B28:H28"/>
    <mergeCell ref="L24:L27"/>
    <mergeCell ref="M24:M27"/>
    <mergeCell ref="N24:N27"/>
    <mergeCell ref="A42:A45"/>
    <mergeCell ref="C42:C45"/>
    <mergeCell ref="D42:D45"/>
    <mergeCell ref="E42:E45"/>
    <mergeCell ref="F42:F43"/>
    <mergeCell ref="G42:G43"/>
    <mergeCell ref="H42:H45"/>
    <mergeCell ref="I42:I45"/>
    <mergeCell ref="A38:A41"/>
    <mergeCell ref="C38:C41"/>
    <mergeCell ref="D38:D41"/>
    <mergeCell ref="E38:E41"/>
    <mergeCell ref="F38:F41"/>
    <mergeCell ref="G38:G41"/>
    <mergeCell ref="F44:F45"/>
    <mergeCell ref="G44:G45"/>
    <mergeCell ref="B46:H46"/>
    <mergeCell ref="L38:L41"/>
    <mergeCell ref="M38:M41"/>
    <mergeCell ref="N38:N41"/>
    <mergeCell ref="L42:L45"/>
    <mergeCell ref="M42:M45"/>
    <mergeCell ref="N42:N45"/>
    <mergeCell ref="H38:H41"/>
    <mergeCell ref="I38:I41"/>
  </mergeCells>
  <printOptions horizontalCentered="1"/>
  <pageMargins left="0" right="0" top="0.74803149606299213" bottom="0.43307086614173229" header="0" footer="0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0FFB-4D7E-4A7E-9879-13C1B890A8BF}">
  <sheetPr>
    <tabColor rgb="FF00B0F0"/>
    <pageSetUpPr fitToPage="1"/>
  </sheetPr>
  <dimension ref="A1:BJ88"/>
  <sheetViews>
    <sheetView topLeftCell="A4" zoomScale="85" zoomScaleNormal="85" zoomScaleSheetLayoutView="100" workbookViewId="0">
      <pane ySplit="4" topLeftCell="A25" activePane="bottomLeft" state="frozen"/>
      <selection activeCell="R4" sqref="R4"/>
      <selection pane="bottomLeft" activeCell="B44" sqref="B44"/>
    </sheetView>
  </sheetViews>
  <sheetFormatPr defaultColWidth="8.75" defaultRowHeight="18.75"/>
  <cols>
    <col min="1" max="1" width="8.75" style="2"/>
    <col min="2" max="2" width="39.875" style="2" customWidth="1"/>
    <col min="3" max="3" width="18.125" style="74" customWidth="1"/>
    <col min="4" max="4" width="19" style="74" customWidth="1"/>
    <col min="5" max="5" width="12" style="74" customWidth="1"/>
    <col min="6" max="6" width="13.625" style="74" customWidth="1"/>
    <col min="7" max="9" width="12.25" style="74" customWidth="1"/>
    <col min="10" max="10" width="13.25" style="74" hidden="1" customWidth="1"/>
    <col min="11" max="15" width="12.25" style="74" hidden="1" customWidth="1"/>
    <col min="16" max="22" width="14.625" style="74" hidden="1" customWidth="1"/>
    <col min="23" max="23" width="13.875" style="74" hidden="1" customWidth="1"/>
    <col min="24" max="29" width="14.625" style="74" hidden="1" customWidth="1"/>
    <col min="30" max="30" width="13.625" style="74" customWidth="1"/>
    <col min="31" max="31" width="13.25" style="74" customWidth="1"/>
    <col min="32" max="33" width="12.25" style="2" customWidth="1"/>
    <col min="34" max="34" width="8.75" style="2"/>
    <col min="35" max="35" width="8.875" style="2" bestFit="1" customWidth="1"/>
    <col min="36" max="36" width="10.125" style="2" bestFit="1" customWidth="1"/>
    <col min="37" max="37" width="9.875" style="2" customWidth="1"/>
    <col min="38" max="38" width="8.875" style="2" bestFit="1" customWidth="1"/>
    <col min="39" max="39" width="9.125" style="2" bestFit="1" customWidth="1"/>
    <col min="40" max="41" width="9" style="2" bestFit="1" customWidth="1"/>
    <col min="42" max="44" width="9.25" style="2" bestFit="1" customWidth="1"/>
    <col min="45" max="45" width="10.375" style="2" customWidth="1"/>
    <col min="46" max="46" width="11.375" style="2" customWidth="1"/>
    <col min="47" max="47" width="11.25" style="2" customWidth="1"/>
    <col min="48" max="51" width="8.75" style="2"/>
    <col min="52" max="52" width="10.375" style="2" customWidth="1"/>
    <col min="53" max="53" width="10.75" style="2" customWidth="1"/>
    <col min="54" max="57" width="8.75" style="2"/>
    <col min="58" max="58" width="9.375" style="2" bestFit="1" customWidth="1"/>
    <col min="59" max="16384" width="8.75" style="2"/>
  </cols>
  <sheetData>
    <row r="1" spans="1:58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214"/>
    </row>
    <row r="2" spans="1:58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214"/>
    </row>
    <row r="3" spans="1:58">
      <c r="A3" s="427" t="s">
        <v>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214"/>
    </row>
    <row r="4" spans="1:58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</row>
    <row r="5" spans="1:58" ht="33.75" customHeight="1">
      <c r="A5" s="214"/>
      <c r="B5" s="214"/>
      <c r="C5" s="214"/>
      <c r="D5" s="214"/>
      <c r="E5" s="214"/>
      <c r="F5" s="423">
        <v>244258</v>
      </c>
      <c r="G5" s="419"/>
      <c r="H5" s="423">
        <v>244289</v>
      </c>
      <c r="I5" s="419"/>
      <c r="J5" s="423">
        <v>244319</v>
      </c>
      <c r="K5" s="419"/>
      <c r="L5" s="423">
        <v>244350</v>
      </c>
      <c r="M5" s="419"/>
      <c r="N5" s="423">
        <v>244381</v>
      </c>
      <c r="O5" s="419"/>
      <c r="P5" s="423">
        <v>244409</v>
      </c>
      <c r="Q5" s="419"/>
      <c r="R5" s="423">
        <v>244440</v>
      </c>
      <c r="S5" s="419"/>
      <c r="T5" s="423">
        <v>244470</v>
      </c>
      <c r="U5" s="419"/>
      <c r="V5" s="423">
        <v>244501</v>
      </c>
      <c r="W5" s="419"/>
      <c r="X5" s="423">
        <v>244531</v>
      </c>
      <c r="Y5" s="419"/>
      <c r="Z5" s="423">
        <v>244562</v>
      </c>
      <c r="AA5" s="419"/>
      <c r="AB5" s="423">
        <v>244593</v>
      </c>
      <c r="AC5" s="419"/>
      <c r="AD5" s="424" t="s">
        <v>549</v>
      </c>
      <c r="AE5" s="425"/>
      <c r="AF5" s="426"/>
      <c r="AG5" s="3"/>
    </row>
    <row r="6" spans="1:58" ht="36" customHeight="1">
      <c r="A6" s="419" t="s">
        <v>3</v>
      </c>
      <c r="B6" s="419" t="s">
        <v>4</v>
      </c>
      <c r="C6" s="420" t="s">
        <v>5</v>
      </c>
      <c r="D6" s="421"/>
      <c r="E6" s="422"/>
      <c r="F6" s="422" t="s">
        <v>6</v>
      </c>
      <c r="G6" s="418" t="s">
        <v>7</v>
      </c>
      <c r="H6" s="418" t="s">
        <v>6</v>
      </c>
      <c r="I6" s="418" t="s">
        <v>7</v>
      </c>
      <c r="J6" s="418" t="s">
        <v>6</v>
      </c>
      <c r="K6" s="420" t="s">
        <v>7</v>
      </c>
      <c r="L6" s="415" t="s">
        <v>6</v>
      </c>
      <c r="M6" s="415" t="s">
        <v>7</v>
      </c>
      <c r="N6" s="415" t="s">
        <v>6</v>
      </c>
      <c r="O6" s="415" t="s">
        <v>7</v>
      </c>
      <c r="P6" s="415" t="s">
        <v>6</v>
      </c>
      <c r="Q6" s="415" t="s">
        <v>7</v>
      </c>
      <c r="R6" s="415" t="s">
        <v>6</v>
      </c>
      <c r="S6" s="415" t="s">
        <v>7</v>
      </c>
      <c r="T6" s="415" t="s">
        <v>6</v>
      </c>
      <c r="U6" s="415" t="s">
        <v>7</v>
      </c>
      <c r="V6" s="415" t="s">
        <v>6</v>
      </c>
      <c r="W6" s="415" t="s">
        <v>7</v>
      </c>
      <c r="X6" s="415" t="s">
        <v>6</v>
      </c>
      <c r="Y6" s="415" t="s">
        <v>7</v>
      </c>
      <c r="Z6" s="415" t="s">
        <v>6</v>
      </c>
      <c r="AA6" s="415" t="s">
        <v>7</v>
      </c>
      <c r="AB6" s="415" t="s">
        <v>6</v>
      </c>
      <c r="AC6" s="415" t="s">
        <v>7</v>
      </c>
      <c r="AD6" s="418" t="s">
        <v>8</v>
      </c>
      <c r="AE6" s="418" t="s">
        <v>9</v>
      </c>
      <c r="AF6" s="417" t="s">
        <v>10</v>
      </c>
      <c r="AG6" s="3"/>
    </row>
    <row r="7" spans="1:58" s="6" customFormat="1" ht="54" customHeight="1">
      <c r="A7" s="419"/>
      <c r="B7" s="419"/>
      <c r="C7" s="215" t="s">
        <v>11</v>
      </c>
      <c r="D7" s="216" t="s">
        <v>6</v>
      </c>
      <c r="E7" s="216" t="s">
        <v>7</v>
      </c>
      <c r="F7" s="422"/>
      <c r="G7" s="418"/>
      <c r="H7" s="418"/>
      <c r="I7" s="418"/>
      <c r="J7" s="418"/>
      <c r="K7" s="420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8"/>
      <c r="AE7" s="418"/>
      <c r="AF7" s="417"/>
      <c r="AG7" s="3"/>
    </row>
    <row r="8" spans="1:58" s="6" customFormat="1" ht="21.6" customHeight="1">
      <c r="A8" s="7"/>
      <c r="B8" s="8" t="s">
        <v>494</v>
      </c>
      <c r="C8" s="9"/>
      <c r="D8" s="10"/>
      <c r="E8" s="10"/>
      <c r="F8" s="10"/>
      <c r="G8" s="9"/>
      <c r="H8" s="9"/>
      <c r="I8" s="9"/>
      <c r="J8" s="9"/>
      <c r="K8" s="11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9"/>
      <c r="AE8" s="9"/>
      <c r="AF8" s="14"/>
      <c r="AG8" s="15"/>
    </row>
    <row r="9" spans="1:58">
      <c r="A9" s="16"/>
      <c r="B9" s="17" t="s">
        <v>12</v>
      </c>
      <c r="C9" s="18"/>
      <c r="D9" s="19"/>
      <c r="E9" s="19"/>
      <c r="F9" s="19"/>
      <c r="G9" s="18"/>
      <c r="H9" s="18"/>
      <c r="I9" s="18"/>
      <c r="J9" s="18"/>
      <c r="K9" s="20"/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8"/>
      <c r="AE9" s="18"/>
      <c r="AF9" s="21"/>
    </row>
    <row r="10" spans="1:58">
      <c r="A10" s="16">
        <v>1</v>
      </c>
      <c r="B10" s="21" t="s">
        <v>13</v>
      </c>
      <c r="C10" s="22">
        <v>47238000</v>
      </c>
      <c r="D10" s="19">
        <v>47238000</v>
      </c>
      <c r="E10" s="19"/>
      <c r="F10" s="23"/>
      <c r="G10" s="24"/>
      <c r="H10" s="24">
        <f>SUM(AI10:AJ10)</f>
        <v>764824.29906542064</v>
      </c>
      <c r="I10" s="24"/>
      <c r="J10" s="24"/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8">
        <f>SUM(F10:AC10)</f>
        <v>764824.29906542064</v>
      </c>
      <c r="AE10" s="18">
        <f>F10+H10+J10+L10+N10+P10+R10+T10+V10+X10+Z10+AB10</f>
        <v>764824.29906542064</v>
      </c>
      <c r="AF10" s="25">
        <f>AE10/AD10</f>
        <v>1</v>
      </c>
      <c r="AG10" s="26"/>
      <c r="AI10" s="27">
        <f>427554-(427554*7/107)</f>
        <v>399583.17757009348</v>
      </c>
      <c r="AJ10" s="27">
        <f>390808-(390808*7/107)</f>
        <v>365241.1214953271</v>
      </c>
      <c r="AK10" s="28"/>
      <c r="AL10" s="29"/>
      <c r="AM10" s="29"/>
      <c r="AN10" s="29"/>
      <c r="AO10" s="27"/>
      <c r="AP10" s="27"/>
      <c r="AQ10" s="28"/>
      <c r="AR10" s="28"/>
      <c r="AS10" s="28"/>
      <c r="AT10" s="30"/>
      <c r="AU10" s="30"/>
      <c r="AV10" s="31"/>
      <c r="AW10" s="31"/>
      <c r="AX10" s="31"/>
      <c r="AY10" s="31"/>
      <c r="AZ10" s="27"/>
      <c r="BA10" s="27"/>
      <c r="BB10" s="32"/>
      <c r="BC10" s="33"/>
      <c r="BD10" s="33"/>
      <c r="BE10" s="33"/>
      <c r="BF10" s="29"/>
    </row>
    <row r="11" spans="1:58">
      <c r="A11" s="16">
        <v>2</v>
      </c>
      <c r="B11" s="34" t="s">
        <v>14</v>
      </c>
      <c r="C11" s="35">
        <v>2200000</v>
      </c>
      <c r="D11" s="19">
        <v>2200000</v>
      </c>
      <c r="E11" s="19"/>
      <c r="F11" s="23"/>
      <c r="G11" s="24"/>
      <c r="H11" s="24">
        <f>SUM(AI11)</f>
        <v>2050600</v>
      </c>
      <c r="I11" s="24"/>
      <c r="J11" s="18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8">
        <f>SUM(F11:AC11)</f>
        <v>2050600</v>
      </c>
      <c r="AE11" s="18">
        <f t="shared" ref="AE11:AE74" si="0">F11+H11+J11+L11+N11+P11+R11+T11+V11+X11+Z11+AB11</f>
        <v>2050600</v>
      </c>
      <c r="AF11" s="25">
        <f t="shared" ref="AF11:AF75" si="1">AE11/AD11</f>
        <v>1</v>
      </c>
      <c r="AG11" s="26"/>
      <c r="AI11" s="32">
        <f>2194142-(2194142*7/107)</f>
        <v>2050600</v>
      </c>
    </row>
    <row r="12" spans="1:58">
      <c r="A12" s="16">
        <v>3</v>
      </c>
      <c r="B12" s="34" t="s">
        <v>15</v>
      </c>
      <c r="C12" s="22">
        <v>2000000</v>
      </c>
      <c r="D12" s="19">
        <v>2000000</v>
      </c>
      <c r="E12" s="19"/>
      <c r="F12" s="23"/>
      <c r="G12" s="24"/>
      <c r="H12" s="24"/>
      <c r="I12" s="24"/>
      <c r="J12" s="18"/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8">
        <f>SUM(F12:AC12)</f>
        <v>0</v>
      </c>
      <c r="AE12" s="18">
        <f t="shared" si="0"/>
        <v>0</v>
      </c>
      <c r="AF12" s="25" t="e">
        <f t="shared" si="1"/>
        <v>#DIV/0!</v>
      </c>
      <c r="AG12" s="26"/>
      <c r="AI12" s="33"/>
      <c r="AJ12" s="27"/>
      <c r="AK12" s="27"/>
    </row>
    <row r="13" spans="1:58">
      <c r="A13" s="16">
        <v>4</v>
      </c>
      <c r="B13" s="34" t="s">
        <v>16</v>
      </c>
      <c r="C13" s="22">
        <v>5000000</v>
      </c>
      <c r="D13" s="19">
        <v>5000000</v>
      </c>
      <c r="E13" s="19"/>
      <c r="F13" s="23"/>
      <c r="G13" s="24"/>
      <c r="H13" s="24"/>
      <c r="I13" s="24"/>
      <c r="J13" s="18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8">
        <f>SUM(F13:AC13)</f>
        <v>0</v>
      </c>
      <c r="AE13" s="18">
        <f t="shared" si="0"/>
        <v>0</v>
      </c>
      <c r="AF13" s="25" t="e">
        <f t="shared" si="1"/>
        <v>#DIV/0!</v>
      </c>
      <c r="AG13" s="26"/>
      <c r="AI13" s="33"/>
      <c r="AJ13" s="33"/>
      <c r="AK13" s="27"/>
      <c r="AS13" s="27"/>
      <c r="AT13" s="27"/>
      <c r="AU13" s="27"/>
    </row>
    <row r="14" spans="1:58">
      <c r="A14" s="16">
        <v>5</v>
      </c>
      <c r="B14" s="34" t="s">
        <v>17</v>
      </c>
      <c r="C14" s="22">
        <v>0</v>
      </c>
      <c r="D14" s="19">
        <v>0</v>
      </c>
      <c r="E14" s="19"/>
      <c r="F14" s="23"/>
      <c r="G14" s="24"/>
      <c r="H14" s="24"/>
      <c r="I14" s="24"/>
      <c r="J14" s="18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8">
        <f t="shared" ref="AD14:AD75" si="2">SUM(F14:AC14)</f>
        <v>0</v>
      </c>
      <c r="AE14" s="18">
        <f t="shared" si="0"/>
        <v>0</v>
      </c>
      <c r="AF14" s="25" t="e">
        <f t="shared" si="1"/>
        <v>#DIV/0!</v>
      </c>
      <c r="AG14" s="26"/>
    </row>
    <row r="15" spans="1:58">
      <c r="A15" s="16">
        <v>6</v>
      </c>
      <c r="B15" s="21" t="s">
        <v>18</v>
      </c>
      <c r="C15" s="22">
        <v>2000000</v>
      </c>
      <c r="D15" s="36">
        <v>2000000</v>
      </c>
      <c r="E15" s="36"/>
      <c r="F15" s="37"/>
      <c r="G15" s="38"/>
      <c r="H15" s="38">
        <f>SUM(AI15)</f>
        <v>946867</v>
      </c>
      <c r="I15" s="38"/>
      <c r="J15" s="39"/>
      <c r="K15" s="40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18">
        <f t="shared" si="2"/>
        <v>946867</v>
      </c>
      <c r="AE15" s="18">
        <f t="shared" si="0"/>
        <v>946867</v>
      </c>
      <c r="AF15" s="25">
        <f t="shared" si="1"/>
        <v>1</v>
      </c>
      <c r="AG15" s="26"/>
      <c r="AI15" s="32">
        <f>1013147.69-(1013147.69*7/107)</f>
        <v>946867</v>
      </c>
    </row>
    <row r="16" spans="1:58">
      <c r="A16" s="41"/>
      <c r="B16" s="42" t="s">
        <v>19</v>
      </c>
      <c r="C16" s="43"/>
      <c r="D16" s="44"/>
      <c r="E16" s="44"/>
      <c r="F16" s="45"/>
      <c r="G16" s="46"/>
      <c r="H16" s="46"/>
      <c r="I16" s="46"/>
      <c r="J16" s="47"/>
      <c r="K16" s="48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7"/>
      <c r="AE16" s="47"/>
      <c r="AF16" s="49" t="e">
        <f t="shared" si="1"/>
        <v>#DIV/0!</v>
      </c>
      <c r="AG16" s="50"/>
    </row>
    <row r="17" spans="1:35">
      <c r="A17" s="16">
        <v>1</v>
      </c>
      <c r="B17" s="21" t="s">
        <v>498</v>
      </c>
      <c r="C17" s="51">
        <v>25000</v>
      </c>
      <c r="D17" s="18">
        <v>25000</v>
      </c>
      <c r="E17" s="19"/>
      <c r="F17" s="23">
        <f>AI17</f>
        <v>23350</v>
      </c>
      <c r="G17" s="24"/>
      <c r="H17" s="24"/>
      <c r="I17" s="24"/>
      <c r="J17" s="18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>
        <f t="shared" si="2"/>
        <v>23350</v>
      </c>
      <c r="AE17" s="18">
        <f t="shared" si="0"/>
        <v>23350</v>
      </c>
      <c r="AF17" s="25">
        <f t="shared" si="1"/>
        <v>1</v>
      </c>
      <c r="AG17" s="26"/>
      <c r="AI17" s="2">
        <f>24984.5-(24984.5*7/107)</f>
        <v>23350</v>
      </c>
    </row>
    <row r="18" spans="1:35">
      <c r="A18" s="16">
        <v>2</v>
      </c>
      <c r="B18" s="21" t="s">
        <v>499</v>
      </c>
      <c r="C18" s="51">
        <v>9800</v>
      </c>
      <c r="D18" s="19">
        <v>9800</v>
      </c>
      <c r="E18" s="19"/>
      <c r="F18" s="23">
        <f>AI18</f>
        <v>9800</v>
      </c>
      <c r="G18" s="24"/>
      <c r="H18" s="24"/>
      <c r="I18" s="24"/>
      <c r="J18" s="18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8">
        <f t="shared" si="2"/>
        <v>9800</v>
      </c>
      <c r="AE18" s="18">
        <f t="shared" si="0"/>
        <v>9800</v>
      </c>
      <c r="AF18" s="25">
        <f t="shared" si="1"/>
        <v>1</v>
      </c>
      <c r="AG18" s="26"/>
      <c r="AI18" s="2">
        <f>10486-(10486*7/107)</f>
        <v>9800</v>
      </c>
    </row>
    <row r="19" spans="1:35">
      <c r="A19" s="16">
        <v>3</v>
      </c>
      <c r="B19" s="21" t="s">
        <v>500</v>
      </c>
      <c r="C19" s="51">
        <v>2000</v>
      </c>
      <c r="D19" s="19">
        <v>2000</v>
      </c>
      <c r="E19" s="19"/>
      <c r="F19" s="23">
        <f>AI19</f>
        <v>1480</v>
      </c>
      <c r="G19" s="24"/>
      <c r="H19" s="24"/>
      <c r="I19" s="24"/>
      <c r="J19" s="18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8">
        <f t="shared" si="2"/>
        <v>1480</v>
      </c>
      <c r="AE19" s="18">
        <f t="shared" si="0"/>
        <v>1480</v>
      </c>
      <c r="AF19" s="25">
        <f t="shared" si="1"/>
        <v>1</v>
      </c>
      <c r="AG19" s="26"/>
      <c r="AI19" s="2">
        <f>1583.6-(1583.6*7/107)</f>
        <v>1480</v>
      </c>
    </row>
    <row r="20" spans="1:35">
      <c r="A20" s="16">
        <v>4</v>
      </c>
      <c r="B20" s="21"/>
      <c r="C20" s="51"/>
      <c r="D20" s="19"/>
      <c r="E20" s="19"/>
      <c r="F20" s="23"/>
      <c r="G20" s="24"/>
      <c r="H20" s="24"/>
      <c r="I20" s="24"/>
      <c r="J20" s="18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8">
        <f t="shared" si="2"/>
        <v>0</v>
      </c>
      <c r="AE20" s="18">
        <f t="shared" si="0"/>
        <v>0</v>
      </c>
      <c r="AF20" s="25" t="e">
        <f t="shared" si="1"/>
        <v>#DIV/0!</v>
      </c>
      <c r="AG20" s="26"/>
    </row>
    <row r="21" spans="1:35">
      <c r="A21" s="16">
        <v>5</v>
      </c>
      <c r="B21" s="21"/>
      <c r="C21" s="51"/>
      <c r="D21" s="19"/>
      <c r="E21" s="19"/>
      <c r="F21" s="23"/>
      <c r="G21" s="24"/>
      <c r="H21" s="24"/>
      <c r="I21" s="24"/>
      <c r="J21" s="18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8">
        <f t="shared" si="2"/>
        <v>0</v>
      </c>
      <c r="AE21" s="18">
        <f t="shared" si="0"/>
        <v>0</v>
      </c>
      <c r="AF21" s="25" t="e">
        <f t="shared" si="1"/>
        <v>#DIV/0!</v>
      </c>
      <c r="AG21" s="26"/>
      <c r="AI21" s="27"/>
    </row>
    <row r="22" spans="1:35">
      <c r="A22" s="16">
        <v>6</v>
      </c>
      <c r="B22" s="21"/>
      <c r="C22" s="51"/>
      <c r="D22" s="19"/>
      <c r="E22" s="19"/>
      <c r="F22" s="23"/>
      <c r="G22" s="24"/>
      <c r="H22" s="24"/>
      <c r="I22" s="24"/>
      <c r="J22" s="18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>
        <f t="shared" si="2"/>
        <v>0</v>
      </c>
      <c r="AE22" s="18">
        <f t="shared" si="0"/>
        <v>0</v>
      </c>
      <c r="AF22" s="25" t="e">
        <f t="shared" si="1"/>
        <v>#DIV/0!</v>
      </c>
      <c r="AG22" s="26"/>
    </row>
    <row r="23" spans="1:35">
      <c r="A23" s="16">
        <v>7</v>
      </c>
      <c r="B23" s="21"/>
      <c r="C23" s="51"/>
      <c r="D23" s="19"/>
      <c r="E23" s="19"/>
      <c r="F23" s="23"/>
      <c r="G23" s="24"/>
      <c r="H23" s="24"/>
      <c r="I23" s="24"/>
      <c r="J23" s="18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>
        <f t="shared" si="2"/>
        <v>0</v>
      </c>
      <c r="AE23" s="18">
        <f t="shared" si="0"/>
        <v>0</v>
      </c>
      <c r="AF23" s="25" t="e">
        <f t="shared" si="1"/>
        <v>#DIV/0!</v>
      </c>
      <c r="AG23" s="26"/>
      <c r="AI23" s="27"/>
    </row>
    <row r="24" spans="1:35">
      <c r="A24" s="16">
        <v>8</v>
      </c>
      <c r="B24" s="21"/>
      <c r="C24" s="51"/>
      <c r="D24" s="19"/>
      <c r="E24" s="19"/>
      <c r="F24" s="23"/>
      <c r="G24" s="24"/>
      <c r="H24" s="24"/>
      <c r="I24" s="24"/>
      <c r="J24" s="18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>
        <f t="shared" si="2"/>
        <v>0</v>
      </c>
      <c r="AE24" s="18">
        <f t="shared" si="0"/>
        <v>0</v>
      </c>
      <c r="AF24" s="25" t="e">
        <f t="shared" si="1"/>
        <v>#DIV/0!</v>
      </c>
      <c r="AG24" s="26"/>
      <c r="AI24" s="28"/>
    </row>
    <row r="25" spans="1:35">
      <c r="A25" s="16">
        <v>9</v>
      </c>
      <c r="B25" s="21"/>
      <c r="C25" s="51"/>
      <c r="D25" s="19"/>
      <c r="E25" s="19"/>
      <c r="F25" s="23"/>
      <c r="G25" s="24"/>
      <c r="H25" s="24"/>
      <c r="I25" s="24"/>
      <c r="J25" s="18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>
        <f t="shared" si="2"/>
        <v>0</v>
      </c>
      <c r="AE25" s="18">
        <f t="shared" si="0"/>
        <v>0</v>
      </c>
      <c r="AF25" s="25" t="e">
        <f t="shared" si="1"/>
        <v>#DIV/0!</v>
      </c>
      <c r="AG25" s="26"/>
      <c r="AI25" s="27"/>
    </row>
    <row r="26" spans="1:35">
      <c r="A26" s="16">
        <v>10</v>
      </c>
      <c r="B26" s="21"/>
      <c r="C26" s="51"/>
      <c r="D26" s="19"/>
      <c r="E26" s="19"/>
      <c r="F26" s="23"/>
      <c r="G26" s="24"/>
      <c r="H26" s="24"/>
      <c r="I26" s="24"/>
      <c r="J26" s="18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>
        <f t="shared" si="2"/>
        <v>0</v>
      </c>
      <c r="AE26" s="18">
        <f t="shared" si="0"/>
        <v>0</v>
      </c>
      <c r="AF26" s="25" t="e">
        <f t="shared" si="1"/>
        <v>#DIV/0!</v>
      </c>
      <c r="AG26" s="26"/>
      <c r="AI26" s="27"/>
    </row>
    <row r="27" spans="1:35">
      <c r="A27" s="16">
        <v>11</v>
      </c>
      <c r="B27" s="21"/>
      <c r="C27" s="51"/>
      <c r="D27" s="19"/>
      <c r="E27" s="19"/>
      <c r="F27" s="23"/>
      <c r="G27" s="24"/>
      <c r="H27" s="24"/>
      <c r="I27" s="24"/>
      <c r="J27" s="18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>
        <f t="shared" si="2"/>
        <v>0</v>
      </c>
      <c r="AE27" s="18">
        <f t="shared" si="0"/>
        <v>0</v>
      </c>
      <c r="AF27" s="25" t="e">
        <f t="shared" si="1"/>
        <v>#DIV/0!</v>
      </c>
      <c r="AG27" s="26"/>
      <c r="AI27" s="27"/>
    </row>
    <row r="28" spans="1:35">
      <c r="A28" s="16"/>
      <c r="B28" s="21"/>
      <c r="C28" s="51"/>
      <c r="D28" s="19"/>
      <c r="E28" s="19"/>
      <c r="F28" s="23"/>
      <c r="G28" s="24"/>
      <c r="H28" s="24"/>
      <c r="I28" s="24"/>
      <c r="J28" s="18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>
        <f t="shared" si="2"/>
        <v>0</v>
      </c>
      <c r="AE28" s="18">
        <f t="shared" si="0"/>
        <v>0</v>
      </c>
      <c r="AF28" s="25" t="e">
        <f t="shared" si="1"/>
        <v>#DIV/0!</v>
      </c>
      <c r="AG28" s="26"/>
    </row>
    <row r="29" spans="1:35">
      <c r="A29" s="16"/>
      <c r="B29" s="21"/>
      <c r="C29" s="51"/>
      <c r="D29" s="19"/>
      <c r="E29" s="19"/>
      <c r="F29" s="23"/>
      <c r="G29" s="24"/>
      <c r="H29" s="24"/>
      <c r="I29" s="24"/>
      <c r="J29" s="18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>
        <f t="shared" si="2"/>
        <v>0</v>
      </c>
      <c r="AE29" s="18">
        <f t="shared" si="0"/>
        <v>0</v>
      </c>
      <c r="AF29" s="25" t="e">
        <f t="shared" si="1"/>
        <v>#DIV/0!</v>
      </c>
      <c r="AG29" s="26"/>
    </row>
    <row r="30" spans="1:35">
      <c r="A30" s="16"/>
      <c r="B30" s="21"/>
      <c r="C30" s="51"/>
      <c r="D30" s="19"/>
      <c r="E30" s="19"/>
      <c r="F30" s="23"/>
      <c r="G30" s="24"/>
      <c r="H30" s="24"/>
      <c r="I30" s="24"/>
      <c r="J30" s="18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>
        <f t="shared" si="2"/>
        <v>0</v>
      </c>
      <c r="AE30" s="18">
        <f t="shared" si="0"/>
        <v>0</v>
      </c>
      <c r="AF30" s="25" t="e">
        <f t="shared" si="1"/>
        <v>#DIV/0!</v>
      </c>
      <c r="AG30" s="26"/>
    </row>
    <row r="31" spans="1:35" ht="18.75" customHeight="1">
      <c r="A31" s="41"/>
      <c r="B31" s="42" t="s">
        <v>20</v>
      </c>
      <c r="C31" s="43"/>
      <c r="D31" s="44"/>
      <c r="E31" s="44"/>
      <c r="F31" s="45"/>
      <c r="G31" s="46"/>
      <c r="H31" s="46"/>
      <c r="I31" s="46"/>
      <c r="J31" s="47"/>
      <c r="K31" s="48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7"/>
      <c r="AE31" s="47"/>
      <c r="AF31" s="49" t="e">
        <f t="shared" si="1"/>
        <v>#DIV/0!</v>
      </c>
      <c r="AG31" s="50"/>
    </row>
    <row r="32" spans="1:35" ht="18.75" customHeight="1">
      <c r="A32" s="16">
        <v>1</v>
      </c>
      <c r="B32" s="52" t="s">
        <v>21</v>
      </c>
      <c r="C32" s="22">
        <v>0</v>
      </c>
      <c r="D32" s="19">
        <v>0</v>
      </c>
      <c r="E32" s="19"/>
      <c r="F32" s="23"/>
      <c r="G32" s="24"/>
      <c r="H32" s="24"/>
      <c r="I32" s="24"/>
      <c r="J32" s="18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>
        <f t="shared" si="2"/>
        <v>0</v>
      </c>
      <c r="AE32" s="18">
        <f t="shared" si="0"/>
        <v>0</v>
      </c>
      <c r="AF32" s="25" t="e">
        <f t="shared" si="1"/>
        <v>#DIV/0!</v>
      </c>
      <c r="AG32" s="26"/>
    </row>
    <row r="33" spans="1:37" ht="18.75" customHeight="1">
      <c r="A33" s="16">
        <v>2</v>
      </c>
      <c r="B33" s="52" t="s">
        <v>22</v>
      </c>
      <c r="C33" s="22">
        <v>326000</v>
      </c>
      <c r="D33" s="19">
        <v>326000</v>
      </c>
      <c r="E33" s="19"/>
      <c r="F33" s="23">
        <f>AI33</f>
        <v>319213</v>
      </c>
      <c r="G33" s="24"/>
      <c r="H33" s="24"/>
      <c r="I33" s="24"/>
      <c r="J33" s="18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>
        <f t="shared" si="2"/>
        <v>319213</v>
      </c>
      <c r="AE33" s="18">
        <f t="shared" si="0"/>
        <v>319213</v>
      </c>
      <c r="AF33" s="25">
        <f t="shared" si="1"/>
        <v>1</v>
      </c>
      <c r="AG33" s="26"/>
      <c r="AI33" s="2">
        <f>341557.91-(341557.91*7/107)</f>
        <v>319213</v>
      </c>
    </row>
    <row r="34" spans="1:37" ht="18.75" customHeight="1">
      <c r="A34" s="16">
        <v>3</v>
      </c>
      <c r="B34" s="52" t="s">
        <v>23</v>
      </c>
      <c r="C34" s="22">
        <v>8199000</v>
      </c>
      <c r="D34" s="19">
        <v>8199000</v>
      </c>
      <c r="E34" s="19"/>
      <c r="F34" s="23">
        <f>AI34</f>
        <v>8126039.252336449</v>
      </c>
      <c r="G34" s="24"/>
      <c r="H34" s="24"/>
      <c r="I34" s="24"/>
      <c r="J34" s="18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>
        <f>SUM(F34:AC34)</f>
        <v>8126039.252336449</v>
      </c>
      <c r="AE34" s="18">
        <f t="shared" si="0"/>
        <v>8126039.252336449</v>
      </c>
      <c r="AF34" s="25">
        <f t="shared" si="1"/>
        <v>1</v>
      </c>
      <c r="AG34" s="53"/>
      <c r="AH34" s="54"/>
      <c r="AI34" s="2">
        <f>8694862-(8694862*7/107)</f>
        <v>8126039.252336449</v>
      </c>
      <c r="AJ34" s="32"/>
    </row>
    <row r="35" spans="1:37">
      <c r="A35" s="16">
        <v>4</v>
      </c>
      <c r="B35" s="52" t="s">
        <v>24</v>
      </c>
      <c r="C35" s="22">
        <v>2890000</v>
      </c>
      <c r="D35" s="19">
        <v>2890000</v>
      </c>
      <c r="E35" s="19"/>
      <c r="F35" s="23">
        <f>AI35</f>
        <v>1858863</v>
      </c>
      <c r="G35" s="24"/>
      <c r="H35" s="24"/>
      <c r="I35" s="24"/>
      <c r="J35" s="18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>
        <f>SUM(F35:AC35)</f>
        <v>1858863</v>
      </c>
      <c r="AE35" s="18">
        <f t="shared" si="0"/>
        <v>1858863</v>
      </c>
      <c r="AF35" s="25">
        <f t="shared" si="1"/>
        <v>1</v>
      </c>
      <c r="AG35" s="53"/>
      <c r="AH35" s="54"/>
      <c r="AI35" s="2">
        <f>1988983.41-(1988983.41*7/107)</f>
        <v>1858863</v>
      </c>
      <c r="AJ35" s="55"/>
      <c r="AK35" s="27"/>
    </row>
    <row r="36" spans="1:37">
      <c r="A36" s="16">
        <v>5</v>
      </c>
      <c r="B36" s="52" t="s">
        <v>25</v>
      </c>
      <c r="C36" s="22">
        <v>100000</v>
      </c>
      <c r="D36" s="19">
        <v>100000</v>
      </c>
      <c r="E36" s="19"/>
      <c r="F36" s="23"/>
      <c r="G36" s="24"/>
      <c r="H36" s="24"/>
      <c r="I36" s="24"/>
      <c r="J36" s="18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8">
        <f t="shared" si="2"/>
        <v>0</v>
      </c>
      <c r="AE36" s="18">
        <f t="shared" si="0"/>
        <v>0</v>
      </c>
      <c r="AF36" s="25" t="e">
        <f t="shared" si="1"/>
        <v>#DIV/0!</v>
      </c>
      <c r="AG36" s="26"/>
    </row>
    <row r="37" spans="1:37">
      <c r="A37" s="16">
        <v>6</v>
      </c>
      <c r="B37" s="52" t="s">
        <v>26</v>
      </c>
      <c r="C37" s="22">
        <v>5151600</v>
      </c>
      <c r="D37" s="19">
        <v>5151600</v>
      </c>
      <c r="E37" s="19"/>
      <c r="F37" s="23"/>
      <c r="G37" s="24"/>
      <c r="H37" s="24"/>
      <c r="I37" s="24"/>
      <c r="J37" s="18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8"/>
      <c r="AE37" s="18"/>
      <c r="AF37" s="25" t="e">
        <f t="shared" si="1"/>
        <v>#DIV/0!</v>
      </c>
      <c r="AG37" s="26"/>
    </row>
    <row r="38" spans="1:37">
      <c r="A38" s="16">
        <v>7</v>
      </c>
      <c r="B38" s="52" t="s">
        <v>27</v>
      </c>
      <c r="C38" s="22">
        <v>107200</v>
      </c>
      <c r="D38" s="19">
        <v>107200</v>
      </c>
      <c r="E38" s="19"/>
      <c r="F38" s="23"/>
      <c r="G38" s="24"/>
      <c r="H38" s="24"/>
      <c r="I38" s="24"/>
      <c r="J38" s="18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8">
        <f t="shared" si="2"/>
        <v>0</v>
      </c>
      <c r="AE38" s="18">
        <f t="shared" si="0"/>
        <v>0</v>
      </c>
      <c r="AF38" s="25" t="e">
        <f t="shared" si="1"/>
        <v>#DIV/0!</v>
      </c>
      <c r="AG38" s="26"/>
    </row>
    <row r="39" spans="1:37">
      <c r="A39" s="16">
        <v>8</v>
      </c>
      <c r="B39" s="52" t="s">
        <v>28</v>
      </c>
      <c r="C39" s="51">
        <v>45000</v>
      </c>
      <c r="D39" s="18">
        <v>45000</v>
      </c>
      <c r="E39" s="19"/>
      <c r="F39" s="23">
        <f>AI39</f>
        <v>45000</v>
      </c>
      <c r="G39" s="24"/>
      <c r="H39" s="24"/>
      <c r="I39" s="24"/>
      <c r="J39" s="18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8">
        <f t="shared" si="2"/>
        <v>45000</v>
      </c>
      <c r="AE39" s="18">
        <f t="shared" si="0"/>
        <v>45000</v>
      </c>
      <c r="AF39" s="25">
        <f t="shared" si="1"/>
        <v>1</v>
      </c>
      <c r="AG39" s="26"/>
      <c r="AI39" s="199">
        <f>48150-(48150*7/107)</f>
        <v>45000</v>
      </c>
    </row>
    <row r="40" spans="1:37">
      <c r="A40" s="16"/>
      <c r="B40" s="52" t="s">
        <v>497</v>
      </c>
      <c r="C40" s="51"/>
      <c r="D40" s="19"/>
      <c r="E40" s="19"/>
      <c r="F40" s="23"/>
      <c r="G40" s="24"/>
      <c r="H40" s="24"/>
      <c r="I40" s="24"/>
      <c r="J40" s="18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8">
        <f t="shared" ref="AD40" si="3">SUM(F40:AC40)</f>
        <v>0</v>
      </c>
      <c r="AE40" s="18">
        <f t="shared" si="0"/>
        <v>0</v>
      </c>
      <c r="AF40" s="25" t="e">
        <f t="shared" si="1"/>
        <v>#DIV/0!</v>
      </c>
      <c r="AG40" s="26"/>
      <c r="AI40" s="33"/>
    </row>
    <row r="41" spans="1:37">
      <c r="A41" s="16">
        <v>9</v>
      </c>
      <c r="B41" s="52" t="s">
        <v>28</v>
      </c>
      <c r="C41" s="51">
        <v>132000</v>
      </c>
      <c r="D41" s="18"/>
      <c r="E41" s="18">
        <v>132000</v>
      </c>
      <c r="F41" s="23"/>
      <c r="G41" s="24"/>
      <c r="H41" s="24"/>
      <c r="I41" s="24">
        <f>SUM(AI41)</f>
        <v>111000</v>
      </c>
      <c r="J41" s="18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8">
        <f t="shared" si="2"/>
        <v>111000</v>
      </c>
      <c r="AE41" s="18">
        <f t="shared" si="0"/>
        <v>0</v>
      </c>
      <c r="AF41" s="25">
        <f t="shared" si="1"/>
        <v>0</v>
      </c>
      <c r="AG41" s="26"/>
      <c r="AI41" s="2">
        <f>118770-(118770*7/107)</f>
        <v>111000</v>
      </c>
    </row>
    <row r="42" spans="1:37">
      <c r="A42" s="16"/>
      <c r="B42" s="52" t="s">
        <v>547</v>
      </c>
      <c r="C42" s="51"/>
      <c r="D42" s="19"/>
      <c r="E42" s="19"/>
      <c r="F42" s="23"/>
      <c r="G42" s="24"/>
      <c r="H42" s="24"/>
      <c r="I42" s="24"/>
      <c r="J42" s="18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8">
        <f t="shared" si="2"/>
        <v>0</v>
      </c>
      <c r="AE42" s="18">
        <f t="shared" si="0"/>
        <v>0</v>
      </c>
      <c r="AF42" s="25" t="e">
        <f t="shared" si="1"/>
        <v>#DIV/0!</v>
      </c>
      <c r="AG42" s="26"/>
    </row>
    <row r="43" spans="1:37">
      <c r="A43" s="16">
        <v>10</v>
      </c>
      <c r="B43" s="52" t="s">
        <v>548</v>
      </c>
      <c r="C43" s="51">
        <v>3255</v>
      </c>
      <c r="D43" s="19">
        <v>3255</v>
      </c>
      <c r="E43" s="19"/>
      <c r="F43" s="23"/>
      <c r="G43" s="24"/>
      <c r="H43" s="24">
        <f>SUM(AI43)</f>
        <v>3255</v>
      </c>
      <c r="I43" s="24"/>
      <c r="J43" s="18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8">
        <f t="shared" si="2"/>
        <v>3255</v>
      </c>
      <c r="AE43" s="18">
        <f t="shared" si="0"/>
        <v>3255</v>
      </c>
      <c r="AF43" s="25">
        <f t="shared" si="1"/>
        <v>1</v>
      </c>
      <c r="AG43" s="26"/>
      <c r="AI43" s="2">
        <f>3482.85-(3482.85*7/107)</f>
        <v>3255</v>
      </c>
    </row>
    <row r="44" spans="1:37">
      <c r="A44" s="16">
        <v>11</v>
      </c>
      <c r="B44" s="52"/>
      <c r="C44" s="51"/>
      <c r="D44" s="19"/>
      <c r="E44" s="19"/>
      <c r="F44" s="23"/>
      <c r="G44" s="24"/>
      <c r="H44" s="24"/>
      <c r="I44" s="24"/>
      <c r="J44" s="18"/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8">
        <f t="shared" si="2"/>
        <v>0</v>
      </c>
      <c r="AE44" s="18">
        <f t="shared" si="0"/>
        <v>0</v>
      </c>
      <c r="AF44" s="25" t="e">
        <f t="shared" si="1"/>
        <v>#DIV/0!</v>
      </c>
      <c r="AG44" s="26"/>
    </row>
    <row r="45" spans="1:37">
      <c r="A45" s="16">
        <v>12</v>
      </c>
      <c r="B45" s="52"/>
      <c r="C45" s="51"/>
      <c r="D45" s="19"/>
      <c r="E45" s="19"/>
      <c r="F45" s="23"/>
      <c r="G45" s="24"/>
      <c r="H45" s="24"/>
      <c r="I45" s="24"/>
      <c r="J45" s="18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8">
        <f t="shared" si="2"/>
        <v>0</v>
      </c>
      <c r="AE45" s="18">
        <f t="shared" si="0"/>
        <v>0</v>
      </c>
      <c r="AF45" s="25" t="e">
        <f t="shared" si="1"/>
        <v>#DIV/0!</v>
      </c>
      <c r="AG45" s="26"/>
    </row>
    <row r="46" spans="1:37">
      <c r="A46" s="16">
        <v>13</v>
      </c>
      <c r="B46" s="52"/>
      <c r="C46" s="51"/>
      <c r="D46" s="19"/>
      <c r="E46" s="19"/>
      <c r="F46" s="23"/>
      <c r="G46" s="24"/>
      <c r="H46" s="24"/>
      <c r="I46" s="24"/>
      <c r="J46" s="18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8">
        <f t="shared" si="2"/>
        <v>0</v>
      </c>
      <c r="AE46" s="18">
        <f t="shared" si="0"/>
        <v>0</v>
      </c>
      <c r="AF46" s="25" t="e">
        <f t="shared" si="1"/>
        <v>#DIV/0!</v>
      </c>
      <c r="AG46" s="26"/>
    </row>
    <row r="47" spans="1:37">
      <c r="A47" s="16">
        <v>14</v>
      </c>
      <c r="B47" s="52"/>
      <c r="C47" s="51"/>
      <c r="D47" s="19"/>
      <c r="E47" s="19"/>
      <c r="F47" s="23"/>
      <c r="G47" s="24"/>
      <c r="H47" s="24"/>
      <c r="I47" s="24"/>
      <c r="J47" s="18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8">
        <f t="shared" si="2"/>
        <v>0</v>
      </c>
      <c r="AE47" s="18">
        <f t="shared" si="0"/>
        <v>0</v>
      </c>
      <c r="AF47" s="25" t="e">
        <f t="shared" si="1"/>
        <v>#DIV/0!</v>
      </c>
      <c r="AG47" s="26"/>
    </row>
    <row r="48" spans="1:37">
      <c r="A48" s="16">
        <v>15</v>
      </c>
      <c r="B48" s="52"/>
      <c r="C48" s="51"/>
      <c r="D48" s="19"/>
      <c r="E48" s="19"/>
      <c r="F48" s="23"/>
      <c r="G48" s="24"/>
      <c r="H48" s="24"/>
      <c r="I48" s="24"/>
      <c r="J48" s="18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8">
        <f t="shared" si="2"/>
        <v>0</v>
      </c>
      <c r="AE48" s="18">
        <f t="shared" si="0"/>
        <v>0</v>
      </c>
      <c r="AF48" s="25" t="e">
        <f t="shared" si="1"/>
        <v>#DIV/0!</v>
      </c>
      <c r="AG48" s="26"/>
    </row>
    <row r="49" spans="1:35">
      <c r="A49" s="16">
        <v>16</v>
      </c>
      <c r="B49" s="52"/>
      <c r="C49" s="51"/>
      <c r="D49" s="19"/>
      <c r="E49" s="19"/>
      <c r="F49" s="23"/>
      <c r="G49" s="24"/>
      <c r="H49" s="24"/>
      <c r="I49" s="24"/>
      <c r="J49" s="18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8">
        <f t="shared" si="2"/>
        <v>0</v>
      </c>
      <c r="AE49" s="18">
        <f t="shared" si="0"/>
        <v>0</v>
      </c>
      <c r="AF49" s="25" t="e">
        <f t="shared" si="1"/>
        <v>#DIV/0!</v>
      </c>
      <c r="AG49" s="26"/>
    </row>
    <row r="50" spans="1:35">
      <c r="A50" s="16">
        <v>17</v>
      </c>
      <c r="B50" s="52"/>
      <c r="C50" s="51"/>
      <c r="D50" s="19"/>
      <c r="E50" s="19"/>
      <c r="F50" s="23"/>
      <c r="G50" s="24"/>
      <c r="H50" s="24"/>
      <c r="I50" s="24"/>
      <c r="J50" s="18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8">
        <f t="shared" si="2"/>
        <v>0</v>
      </c>
      <c r="AE50" s="18">
        <f t="shared" si="0"/>
        <v>0</v>
      </c>
      <c r="AF50" s="25" t="e">
        <f t="shared" si="1"/>
        <v>#DIV/0!</v>
      </c>
      <c r="AG50" s="26"/>
    </row>
    <row r="51" spans="1:35">
      <c r="A51" s="16">
        <v>18</v>
      </c>
      <c r="B51" s="52"/>
      <c r="C51" s="51"/>
      <c r="D51" s="19"/>
      <c r="E51" s="19"/>
      <c r="F51" s="23"/>
      <c r="G51" s="24"/>
      <c r="H51" s="24"/>
      <c r="I51" s="24"/>
      <c r="J51" s="18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8">
        <f t="shared" si="2"/>
        <v>0</v>
      </c>
      <c r="AE51" s="18">
        <f t="shared" si="0"/>
        <v>0</v>
      </c>
      <c r="AF51" s="25" t="e">
        <f t="shared" si="1"/>
        <v>#DIV/0!</v>
      </c>
      <c r="AG51" s="26"/>
    </row>
    <row r="52" spans="1:35">
      <c r="A52" s="16">
        <v>19</v>
      </c>
      <c r="B52" s="21"/>
      <c r="C52" s="51"/>
      <c r="D52" s="19"/>
      <c r="E52" s="19"/>
      <c r="F52" s="23"/>
      <c r="G52" s="24"/>
      <c r="H52" s="24"/>
      <c r="I52" s="24"/>
      <c r="J52" s="18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8">
        <f t="shared" si="2"/>
        <v>0</v>
      </c>
      <c r="AE52" s="18">
        <f t="shared" si="0"/>
        <v>0</v>
      </c>
      <c r="AF52" s="25" t="e">
        <f t="shared" si="1"/>
        <v>#DIV/0!</v>
      </c>
      <c r="AG52" s="26"/>
    </row>
    <row r="53" spans="1:35">
      <c r="A53" s="16">
        <v>20</v>
      </c>
      <c r="B53" s="52"/>
      <c r="C53" s="51"/>
      <c r="D53" s="19"/>
      <c r="E53" s="19"/>
      <c r="F53" s="23"/>
      <c r="G53" s="24"/>
      <c r="H53" s="24"/>
      <c r="I53" s="24"/>
      <c r="J53" s="18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8">
        <f t="shared" si="2"/>
        <v>0</v>
      </c>
      <c r="AE53" s="18">
        <f t="shared" si="0"/>
        <v>0</v>
      </c>
      <c r="AF53" s="25" t="e">
        <f t="shared" si="1"/>
        <v>#DIV/0!</v>
      </c>
      <c r="AG53" s="26"/>
    </row>
    <row r="54" spans="1:35">
      <c r="A54" s="16">
        <v>21</v>
      </c>
      <c r="B54" s="21"/>
      <c r="C54" s="51"/>
      <c r="D54" s="19"/>
      <c r="E54" s="19"/>
      <c r="F54" s="23"/>
      <c r="G54" s="24"/>
      <c r="H54" s="24"/>
      <c r="I54" s="24"/>
      <c r="J54" s="18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8">
        <f t="shared" si="2"/>
        <v>0</v>
      </c>
      <c r="AE54" s="18">
        <f t="shared" si="0"/>
        <v>0</v>
      </c>
      <c r="AF54" s="25" t="e">
        <f t="shared" si="1"/>
        <v>#DIV/0!</v>
      </c>
      <c r="AG54" s="26"/>
    </row>
    <row r="55" spans="1:35">
      <c r="A55" s="16">
        <v>22</v>
      </c>
      <c r="B55" s="21"/>
      <c r="C55" s="51"/>
      <c r="D55" s="19"/>
      <c r="E55" s="19"/>
      <c r="F55" s="23"/>
      <c r="G55" s="24"/>
      <c r="H55" s="24"/>
      <c r="I55" s="24"/>
      <c r="J55" s="18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8">
        <f t="shared" si="2"/>
        <v>0</v>
      </c>
      <c r="AE55" s="18">
        <f t="shared" si="0"/>
        <v>0</v>
      </c>
      <c r="AF55" s="25" t="e">
        <f t="shared" si="1"/>
        <v>#DIV/0!</v>
      </c>
      <c r="AG55" s="26"/>
    </row>
    <row r="56" spans="1:35">
      <c r="A56" s="16">
        <v>23</v>
      </c>
      <c r="B56" s="21"/>
      <c r="C56" s="51"/>
      <c r="D56" s="19"/>
      <c r="E56" s="19"/>
      <c r="F56" s="23"/>
      <c r="G56" s="24"/>
      <c r="H56" s="24"/>
      <c r="I56" s="24"/>
      <c r="J56" s="18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8">
        <f t="shared" si="2"/>
        <v>0</v>
      </c>
      <c r="AE56" s="18">
        <f t="shared" si="0"/>
        <v>0</v>
      </c>
      <c r="AF56" s="25" t="e">
        <f t="shared" si="1"/>
        <v>#DIV/0!</v>
      </c>
      <c r="AG56" s="26"/>
    </row>
    <row r="57" spans="1:35">
      <c r="A57" s="16">
        <v>24</v>
      </c>
      <c r="B57" s="21"/>
      <c r="C57" s="51"/>
      <c r="D57" s="19"/>
      <c r="E57" s="19"/>
      <c r="F57" s="23"/>
      <c r="G57" s="24"/>
      <c r="H57" s="24"/>
      <c r="I57" s="24"/>
      <c r="J57" s="18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8">
        <f t="shared" si="2"/>
        <v>0</v>
      </c>
      <c r="AE57" s="18">
        <f t="shared" si="0"/>
        <v>0</v>
      </c>
      <c r="AF57" s="25" t="e">
        <f t="shared" si="1"/>
        <v>#DIV/0!</v>
      </c>
      <c r="AG57" s="26"/>
    </row>
    <row r="58" spans="1:35">
      <c r="A58" s="16">
        <v>25</v>
      </c>
      <c r="B58" s="21"/>
      <c r="C58" s="51"/>
      <c r="D58" s="19"/>
      <c r="E58" s="19"/>
      <c r="F58" s="23"/>
      <c r="G58" s="24"/>
      <c r="H58" s="24"/>
      <c r="I58" s="24"/>
      <c r="J58" s="18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8">
        <f t="shared" si="2"/>
        <v>0</v>
      </c>
      <c r="AE58" s="18">
        <f t="shared" si="0"/>
        <v>0</v>
      </c>
      <c r="AF58" s="25" t="e">
        <f t="shared" si="1"/>
        <v>#DIV/0!</v>
      </c>
      <c r="AG58" s="26"/>
    </row>
    <row r="59" spans="1:35">
      <c r="A59" s="16">
        <v>26</v>
      </c>
      <c r="B59" s="21"/>
      <c r="C59" s="51"/>
      <c r="D59" s="19"/>
      <c r="E59" s="19"/>
      <c r="F59" s="23"/>
      <c r="G59" s="24"/>
      <c r="H59" s="24"/>
      <c r="I59" s="24"/>
      <c r="J59" s="18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8">
        <f t="shared" si="2"/>
        <v>0</v>
      </c>
      <c r="AE59" s="18">
        <f t="shared" si="0"/>
        <v>0</v>
      </c>
      <c r="AF59" s="25" t="e">
        <f t="shared" si="1"/>
        <v>#DIV/0!</v>
      </c>
      <c r="AG59" s="26"/>
      <c r="AI59" s="27"/>
    </row>
    <row r="60" spans="1:35">
      <c r="A60" s="16">
        <v>27</v>
      </c>
      <c r="B60" s="21"/>
      <c r="C60" s="51"/>
      <c r="D60" s="19"/>
      <c r="E60" s="19"/>
      <c r="F60" s="23"/>
      <c r="G60" s="24"/>
      <c r="H60" s="24"/>
      <c r="I60" s="24"/>
      <c r="J60" s="18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18">
        <f t="shared" si="2"/>
        <v>0</v>
      </c>
      <c r="AE60" s="18">
        <f t="shared" si="0"/>
        <v>0</v>
      </c>
      <c r="AF60" s="25" t="e">
        <f t="shared" si="1"/>
        <v>#DIV/0!</v>
      </c>
      <c r="AG60" s="26"/>
      <c r="AI60" s="27"/>
    </row>
    <row r="61" spans="1:35">
      <c r="A61" s="16">
        <v>28</v>
      </c>
      <c r="B61" s="21"/>
      <c r="C61" s="51"/>
      <c r="D61" s="19"/>
      <c r="E61" s="19"/>
      <c r="F61" s="23"/>
      <c r="G61" s="24"/>
      <c r="H61" s="24"/>
      <c r="I61" s="24"/>
      <c r="J61" s="18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18">
        <f t="shared" si="2"/>
        <v>0</v>
      </c>
      <c r="AE61" s="18">
        <f t="shared" si="0"/>
        <v>0</v>
      </c>
      <c r="AF61" s="25" t="e">
        <f t="shared" si="1"/>
        <v>#DIV/0!</v>
      </c>
      <c r="AG61" s="26"/>
    </row>
    <row r="62" spans="1:35">
      <c r="A62" s="16">
        <v>29</v>
      </c>
      <c r="B62" s="21"/>
      <c r="C62" s="51"/>
      <c r="D62" s="19"/>
      <c r="E62" s="19"/>
      <c r="F62" s="23"/>
      <c r="G62" s="24"/>
      <c r="H62" s="24"/>
      <c r="I62" s="24"/>
      <c r="J62" s="18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18">
        <f t="shared" si="2"/>
        <v>0</v>
      </c>
      <c r="AE62" s="18">
        <f t="shared" si="0"/>
        <v>0</v>
      </c>
      <c r="AF62" s="25" t="e">
        <f t="shared" si="1"/>
        <v>#DIV/0!</v>
      </c>
      <c r="AG62" s="26"/>
    </row>
    <row r="63" spans="1:35">
      <c r="A63" s="16">
        <v>30</v>
      </c>
      <c r="B63" s="21"/>
      <c r="C63" s="51"/>
      <c r="D63" s="18"/>
      <c r="E63" s="19"/>
      <c r="F63" s="23"/>
      <c r="G63" s="24"/>
      <c r="H63" s="24"/>
      <c r="I63" s="24"/>
      <c r="J63" s="18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18">
        <f t="shared" si="2"/>
        <v>0</v>
      </c>
      <c r="AE63" s="18">
        <f t="shared" si="0"/>
        <v>0</v>
      </c>
      <c r="AF63" s="25" t="e">
        <f t="shared" si="1"/>
        <v>#DIV/0!</v>
      </c>
      <c r="AG63" s="26"/>
    </row>
    <row r="64" spans="1:35">
      <c r="A64" s="16">
        <v>31</v>
      </c>
      <c r="B64" s="21"/>
      <c r="C64" s="51"/>
      <c r="D64" s="18"/>
      <c r="E64" s="19"/>
      <c r="F64" s="23"/>
      <c r="G64" s="24"/>
      <c r="H64" s="24"/>
      <c r="I64" s="24"/>
      <c r="J64" s="18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18">
        <f t="shared" si="2"/>
        <v>0</v>
      </c>
      <c r="AE64" s="18">
        <f t="shared" si="0"/>
        <v>0</v>
      </c>
      <c r="AF64" s="25" t="e">
        <f t="shared" si="1"/>
        <v>#DIV/0!</v>
      </c>
      <c r="AG64" s="26"/>
    </row>
    <row r="65" spans="1:33">
      <c r="A65" s="16">
        <v>32</v>
      </c>
      <c r="B65" s="21"/>
      <c r="C65" s="51"/>
      <c r="D65" s="18"/>
      <c r="E65" s="19"/>
      <c r="F65" s="23"/>
      <c r="G65" s="24"/>
      <c r="H65" s="24"/>
      <c r="I65" s="24"/>
      <c r="J65" s="18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18">
        <f t="shared" si="2"/>
        <v>0</v>
      </c>
      <c r="AE65" s="18">
        <f t="shared" si="0"/>
        <v>0</v>
      </c>
      <c r="AF65" s="25" t="e">
        <f t="shared" si="1"/>
        <v>#DIV/0!</v>
      </c>
      <c r="AG65" s="26"/>
    </row>
    <row r="66" spans="1:33">
      <c r="A66" s="16">
        <v>33</v>
      </c>
      <c r="B66" s="21"/>
      <c r="C66" s="51"/>
      <c r="D66" s="18"/>
      <c r="E66" s="19"/>
      <c r="F66" s="23"/>
      <c r="G66" s="24"/>
      <c r="H66" s="24"/>
      <c r="I66" s="24"/>
      <c r="J66" s="18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18">
        <f t="shared" si="2"/>
        <v>0</v>
      </c>
      <c r="AE66" s="18">
        <f t="shared" si="0"/>
        <v>0</v>
      </c>
      <c r="AF66" s="25" t="e">
        <f t="shared" si="1"/>
        <v>#DIV/0!</v>
      </c>
      <c r="AG66" s="26"/>
    </row>
    <row r="67" spans="1:33">
      <c r="A67" s="16"/>
      <c r="B67" s="21"/>
      <c r="C67" s="51"/>
      <c r="D67" s="18"/>
      <c r="E67" s="19"/>
      <c r="F67" s="23"/>
      <c r="G67" s="24"/>
      <c r="H67" s="24"/>
      <c r="I67" s="24"/>
      <c r="J67" s="18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18">
        <f t="shared" si="2"/>
        <v>0</v>
      </c>
      <c r="AE67" s="18">
        <f t="shared" si="0"/>
        <v>0</v>
      </c>
      <c r="AF67" s="25" t="e">
        <f t="shared" si="1"/>
        <v>#DIV/0!</v>
      </c>
      <c r="AG67" s="26"/>
    </row>
    <row r="68" spans="1:33">
      <c r="A68" s="16"/>
      <c r="B68" s="21"/>
      <c r="C68" s="51"/>
      <c r="D68" s="18"/>
      <c r="E68" s="19"/>
      <c r="F68" s="23"/>
      <c r="G68" s="24"/>
      <c r="H68" s="24"/>
      <c r="I68" s="24"/>
      <c r="J68" s="18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18">
        <f t="shared" si="2"/>
        <v>0</v>
      </c>
      <c r="AE68" s="18">
        <f t="shared" si="0"/>
        <v>0</v>
      </c>
      <c r="AF68" s="25" t="e">
        <f t="shared" si="1"/>
        <v>#DIV/0!</v>
      </c>
      <c r="AG68" s="26"/>
    </row>
    <row r="69" spans="1:33">
      <c r="A69" s="16"/>
      <c r="B69" s="21"/>
      <c r="C69" s="51"/>
      <c r="D69" s="19"/>
      <c r="E69" s="19"/>
      <c r="F69" s="23"/>
      <c r="G69" s="24"/>
      <c r="H69" s="24"/>
      <c r="I69" s="24"/>
      <c r="J69" s="18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18">
        <f t="shared" si="2"/>
        <v>0</v>
      </c>
      <c r="AE69" s="18">
        <f t="shared" si="0"/>
        <v>0</v>
      </c>
      <c r="AF69" s="25" t="e">
        <f t="shared" si="1"/>
        <v>#DIV/0!</v>
      </c>
      <c r="AG69" s="26"/>
    </row>
    <row r="70" spans="1:33">
      <c r="A70" s="16"/>
      <c r="B70" s="21"/>
      <c r="C70" s="51"/>
      <c r="D70" s="19"/>
      <c r="E70" s="19"/>
      <c r="F70" s="23"/>
      <c r="G70" s="24"/>
      <c r="H70" s="24"/>
      <c r="I70" s="24"/>
      <c r="J70" s="18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18">
        <f t="shared" si="2"/>
        <v>0</v>
      </c>
      <c r="AE70" s="18">
        <f t="shared" si="0"/>
        <v>0</v>
      </c>
      <c r="AF70" s="25" t="e">
        <f t="shared" si="1"/>
        <v>#DIV/0!</v>
      </c>
      <c r="AG70" s="26"/>
    </row>
    <row r="71" spans="1:33">
      <c r="A71" s="16"/>
      <c r="B71" s="21"/>
      <c r="C71" s="51"/>
      <c r="D71" s="19"/>
      <c r="E71" s="19"/>
      <c r="F71" s="23"/>
      <c r="G71" s="24"/>
      <c r="H71" s="24"/>
      <c r="I71" s="24"/>
      <c r="J71" s="18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18">
        <f t="shared" si="2"/>
        <v>0</v>
      </c>
      <c r="AE71" s="18">
        <f t="shared" si="0"/>
        <v>0</v>
      </c>
      <c r="AF71" s="25" t="e">
        <f t="shared" si="1"/>
        <v>#DIV/0!</v>
      </c>
      <c r="AG71" s="26"/>
    </row>
    <row r="72" spans="1:33">
      <c r="A72" s="16"/>
      <c r="B72" s="21"/>
      <c r="C72" s="51"/>
      <c r="D72" s="19"/>
      <c r="E72" s="19"/>
      <c r="F72" s="23"/>
      <c r="G72" s="24"/>
      <c r="H72" s="24"/>
      <c r="I72" s="24"/>
      <c r="J72" s="18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18">
        <f t="shared" si="2"/>
        <v>0</v>
      </c>
      <c r="AE72" s="18">
        <f t="shared" si="0"/>
        <v>0</v>
      </c>
      <c r="AF72" s="25" t="e">
        <f t="shared" si="1"/>
        <v>#DIV/0!</v>
      </c>
      <c r="AG72" s="26"/>
    </row>
    <row r="73" spans="1:33">
      <c r="A73" s="16"/>
      <c r="B73" s="21"/>
      <c r="C73" s="51"/>
      <c r="D73" s="19"/>
      <c r="E73" s="19"/>
      <c r="F73" s="23"/>
      <c r="G73" s="24"/>
      <c r="H73" s="24"/>
      <c r="I73" s="24"/>
      <c r="J73" s="18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18">
        <f t="shared" si="2"/>
        <v>0</v>
      </c>
      <c r="AE73" s="18">
        <f t="shared" si="0"/>
        <v>0</v>
      </c>
      <c r="AF73" s="25" t="e">
        <f t="shared" si="1"/>
        <v>#DIV/0!</v>
      </c>
      <c r="AG73" s="26"/>
    </row>
    <row r="74" spans="1:33">
      <c r="A74" s="16"/>
      <c r="B74" s="21"/>
      <c r="C74" s="51"/>
      <c r="D74" s="19"/>
      <c r="E74" s="19"/>
      <c r="F74" s="23"/>
      <c r="G74" s="24"/>
      <c r="H74" s="24"/>
      <c r="I74" s="24"/>
      <c r="J74" s="18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18">
        <f t="shared" si="2"/>
        <v>0</v>
      </c>
      <c r="AE74" s="18">
        <f t="shared" si="0"/>
        <v>0</v>
      </c>
      <c r="AF74" s="25" t="e">
        <f>AE74/AD74</f>
        <v>#DIV/0!</v>
      </c>
      <c r="AG74" s="26"/>
    </row>
    <row r="75" spans="1:33">
      <c r="A75" s="56"/>
      <c r="B75" s="57" t="s">
        <v>29</v>
      </c>
      <c r="C75" s="58"/>
      <c r="D75" s="59"/>
      <c r="E75" s="59"/>
      <c r="F75" s="60"/>
      <c r="G75" s="61"/>
      <c r="H75" s="61"/>
      <c r="I75" s="61"/>
      <c r="J75" s="59"/>
      <c r="K75" s="62"/>
      <c r="L75" s="5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59">
        <f t="shared" si="2"/>
        <v>0</v>
      </c>
      <c r="AE75" s="59">
        <f t="shared" ref="AE75" si="4">F75+H75+J75</f>
        <v>0</v>
      </c>
      <c r="AF75" s="63" t="e">
        <f t="shared" si="1"/>
        <v>#DIV/0!</v>
      </c>
      <c r="AG75" s="64"/>
    </row>
    <row r="76" spans="1:33">
      <c r="A76" s="16"/>
      <c r="B76" s="17"/>
      <c r="C76" s="51"/>
      <c r="D76" s="18"/>
      <c r="E76" s="18"/>
      <c r="F76" s="65"/>
      <c r="G76" s="24"/>
      <c r="H76" s="24"/>
      <c r="I76" s="24"/>
      <c r="J76" s="18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18"/>
      <c r="AE76" s="18"/>
      <c r="AF76" s="25"/>
      <c r="AG76" s="26"/>
    </row>
    <row r="77" spans="1:33" s="69" customFormat="1">
      <c r="A77" s="66"/>
      <c r="B77" s="66" t="s">
        <v>30</v>
      </c>
      <c r="C77" s="51">
        <f t="shared" ref="C77:AC77" si="5">SUM(C9:C75)</f>
        <v>75428855</v>
      </c>
      <c r="D77" s="51">
        <f t="shared" si="5"/>
        <v>75296855</v>
      </c>
      <c r="E77" s="51">
        <f t="shared" si="5"/>
        <v>132000</v>
      </c>
      <c r="F77" s="51">
        <f t="shared" si="5"/>
        <v>10383745.25233645</v>
      </c>
      <c r="G77" s="51">
        <f t="shared" si="5"/>
        <v>0</v>
      </c>
      <c r="H77" s="51">
        <f t="shared" si="5"/>
        <v>3765546.2990654204</v>
      </c>
      <c r="I77" s="51">
        <f t="shared" si="5"/>
        <v>111000</v>
      </c>
      <c r="J77" s="51">
        <f t="shared" si="5"/>
        <v>0</v>
      </c>
      <c r="K77" s="51">
        <f t="shared" si="5"/>
        <v>0</v>
      </c>
      <c r="L77" s="51">
        <f>SUM(L9:L75)</f>
        <v>0</v>
      </c>
      <c r="M77" s="51">
        <f t="shared" si="5"/>
        <v>0</v>
      </c>
      <c r="N77" s="51">
        <f t="shared" si="5"/>
        <v>0</v>
      </c>
      <c r="O77" s="51">
        <f t="shared" si="5"/>
        <v>0</v>
      </c>
      <c r="P77" s="51">
        <f t="shared" si="5"/>
        <v>0</v>
      </c>
      <c r="Q77" s="51">
        <f t="shared" si="5"/>
        <v>0</v>
      </c>
      <c r="R77" s="51">
        <f t="shared" si="5"/>
        <v>0</v>
      </c>
      <c r="S77" s="51">
        <f t="shared" si="5"/>
        <v>0</v>
      </c>
      <c r="T77" s="51">
        <f t="shared" si="5"/>
        <v>0</v>
      </c>
      <c r="U77" s="51">
        <f t="shared" si="5"/>
        <v>0</v>
      </c>
      <c r="V77" s="51">
        <f t="shared" si="5"/>
        <v>0</v>
      </c>
      <c r="W77" s="51">
        <f t="shared" si="5"/>
        <v>0</v>
      </c>
      <c r="X77" s="51">
        <f t="shared" si="5"/>
        <v>0</v>
      </c>
      <c r="Y77" s="51">
        <f t="shared" si="5"/>
        <v>0</v>
      </c>
      <c r="Z77" s="51">
        <f t="shared" si="5"/>
        <v>0</v>
      </c>
      <c r="AA77" s="51">
        <f t="shared" si="5"/>
        <v>0</v>
      </c>
      <c r="AB77" s="51">
        <f t="shared" si="5"/>
        <v>0</v>
      </c>
      <c r="AC77" s="51">
        <f t="shared" si="5"/>
        <v>0</v>
      </c>
      <c r="AD77" s="51">
        <f>SUM(AD9:AD38)</f>
        <v>14101036.551401868</v>
      </c>
      <c r="AE77" s="51">
        <f>SUM(AE9:AE38)</f>
        <v>14101036.551401868</v>
      </c>
      <c r="AF77" s="67">
        <f>AE77/AD77</f>
        <v>1</v>
      </c>
      <c r="AG77" s="68"/>
    </row>
    <row r="78" spans="1:33" s="69" customFormat="1">
      <c r="A78" s="214"/>
      <c r="B78" s="214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68"/>
      <c r="AG78" s="68"/>
    </row>
    <row r="79" spans="1:33">
      <c r="A79" s="71"/>
      <c r="B79" s="2" t="s">
        <v>31</v>
      </c>
      <c r="C79" s="2"/>
      <c r="D79" s="72">
        <f>D77</f>
        <v>75296855</v>
      </c>
      <c r="E79" s="7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2"/>
      <c r="AE79" s="2"/>
    </row>
    <row r="80" spans="1:33" ht="19.5" thickBot="1">
      <c r="B80" s="69" t="s">
        <v>32</v>
      </c>
      <c r="C80" s="2"/>
      <c r="D80" s="76">
        <f>SUM(D79*0.3)</f>
        <v>22589056.5</v>
      </c>
      <c r="E80" s="77"/>
      <c r="AD80" s="69"/>
      <c r="AE80" s="2"/>
    </row>
    <row r="81" spans="1:62" ht="19.5" thickTop="1">
      <c r="C81" s="2"/>
      <c r="D81" s="2"/>
      <c r="E81" s="78"/>
      <c r="AD81" s="2"/>
      <c r="AE81" s="2"/>
      <c r="AF81" s="79"/>
      <c r="AG81" s="79"/>
    </row>
    <row r="82" spans="1:62">
      <c r="B82" s="2" t="s">
        <v>550</v>
      </c>
      <c r="C82" s="2"/>
      <c r="D82" s="77">
        <f>SUM(AE77)</f>
        <v>14101036.551401868</v>
      </c>
      <c r="E82" s="79"/>
      <c r="L82" s="51"/>
    </row>
    <row r="83" spans="1:62">
      <c r="B83" s="69" t="s">
        <v>33</v>
      </c>
      <c r="D83" s="80">
        <f>SUM(D82/D79)</f>
        <v>0.18727258331575561</v>
      </c>
    </row>
    <row r="85" spans="1:62" s="74" customFormat="1">
      <c r="A85" s="2"/>
      <c r="B85" s="2" t="s">
        <v>34</v>
      </c>
      <c r="C85" s="2"/>
      <c r="D85" s="78">
        <f>D82-D80</f>
        <v>-8488019.9485981315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8" spans="1:62" s="74" customFormat="1">
      <c r="A88" s="2"/>
      <c r="B88" s="2"/>
      <c r="C88" s="8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8182-8B79-40BE-AF91-B6AF5B0E71CA}">
  <sheetPr>
    <tabColor rgb="FFFF0000"/>
  </sheetPr>
  <dimension ref="A2:N42"/>
  <sheetViews>
    <sheetView zoomScale="70" zoomScaleNormal="70" workbookViewId="0">
      <selection activeCell="A26" sqref="A26"/>
    </sheetView>
  </sheetViews>
  <sheetFormatPr defaultColWidth="9.125" defaultRowHeight="21"/>
  <cols>
    <col min="1" max="1" width="6.875" style="121" bestFit="1" customWidth="1"/>
    <col min="2" max="2" width="50.125" style="83" customWidth="1"/>
    <col min="3" max="3" width="14.375" style="123" customWidth="1"/>
    <col min="4" max="4" width="15.75" style="123" customWidth="1"/>
    <col min="5" max="5" width="13.125" style="83" customWidth="1"/>
    <col min="6" max="6" width="26.375" style="83" customWidth="1"/>
    <col min="7" max="7" width="15.125" style="123" customWidth="1"/>
    <col min="8" max="8" width="20.375" style="124" customWidth="1"/>
    <col min="9" max="9" width="18.625" style="125" customWidth="1"/>
    <col min="10" max="10" width="21" style="83" customWidth="1"/>
    <col min="11" max="11" width="28.25" style="83" customWidth="1"/>
    <col min="12" max="12" width="24.375" style="83" customWidth="1"/>
    <col min="13" max="13" width="12" style="83" customWidth="1"/>
    <col min="14" max="14" width="13.25" style="83" customWidth="1"/>
    <col min="15" max="16384" width="9.125" style="83"/>
  </cols>
  <sheetData>
    <row r="2" spans="1:14">
      <c r="A2" s="433" t="s">
        <v>544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217" t="s">
        <v>35</v>
      </c>
    </row>
    <row r="3" spans="1:1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4">
      <c r="A4" s="433" t="s">
        <v>545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4">
      <c r="A5" s="217"/>
      <c r="B5" s="217"/>
      <c r="C5" s="217"/>
      <c r="D5" s="217"/>
      <c r="E5" s="217"/>
      <c r="F5" s="217"/>
      <c r="G5" s="217"/>
      <c r="H5" s="217"/>
      <c r="I5" s="217"/>
      <c r="J5" s="217"/>
    </row>
    <row r="6" spans="1:14" ht="42">
      <c r="A6" s="434" t="s">
        <v>36</v>
      </c>
      <c r="B6" s="434" t="s">
        <v>37</v>
      </c>
      <c r="C6" s="84" t="s">
        <v>38</v>
      </c>
      <c r="D6" s="85" t="s">
        <v>39</v>
      </c>
      <c r="E6" s="434" t="s">
        <v>40</v>
      </c>
      <c r="F6" s="434" t="s">
        <v>41</v>
      </c>
      <c r="G6" s="434"/>
      <c r="H6" s="435" t="s">
        <v>42</v>
      </c>
      <c r="I6" s="435"/>
      <c r="J6" s="436" t="s">
        <v>43</v>
      </c>
      <c r="K6" s="436" t="s">
        <v>44</v>
      </c>
      <c r="L6" s="430" t="s">
        <v>45</v>
      </c>
      <c r="M6" s="431" t="s">
        <v>46</v>
      </c>
      <c r="N6" s="432"/>
    </row>
    <row r="7" spans="1:14" ht="63">
      <c r="A7" s="366"/>
      <c r="B7" s="366"/>
      <c r="C7" s="86" t="s">
        <v>47</v>
      </c>
      <c r="D7" s="87" t="s">
        <v>48</v>
      </c>
      <c r="E7" s="366"/>
      <c r="F7" s="203" t="s">
        <v>49</v>
      </c>
      <c r="G7" s="204" t="s">
        <v>50</v>
      </c>
      <c r="H7" s="212" t="s">
        <v>51</v>
      </c>
      <c r="I7" s="206" t="s">
        <v>52</v>
      </c>
      <c r="J7" s="434"/>
      <c r="K7" s="434"/>
      <c r="L7" s="437"/>
      <c r="M7" s="213" t="s">
        <v>53</v>
      </c>
      <c r="N7" s="205" t="s">
        <v>54</v>
      </c>
    </row>
    <row r="8" spans="1:14">
      <c r="A8" s="339">
        <v>1</v>
      </c>
      <c r="B8" s="94" t="s">
        <v>516</v>
      </c>
      <c r="C8" s="352">
        <v>132000</v>
      </c>
      <c r="D8" s="342">
        <v>118770</v>
      </c>
      <c r="E8" s="339" t="s">
        <v>56</v>
      </c>
      <c r="F8" s="366" t="s">
        <v>517</v>
      </c>
      <c r="G8" s="327">
        <v>118770</v>
      </c>
      <c r="H8" s="369" t="s">
        <v>517</v>
      </c>
      <c r="I8" s="327">
        <v>118770</v>
      </c>
      <c r="J8" s="200"/>
      <c r="K8" s="200"/>
      <c r="L8" s="330" t="s">
        <v>58</v>
      </c>
      <c r="M8" s="333"/>
      <c r="N8" s="333" t="s">
        <v>59</v>
      </c>
    </row>
    <row r="9" spans="1:14" ht="21" customHeight="1">
      <c r="A9" s="340"/>
      <c r="B9" s="97" t="s">
        <v>518</v>
      </c>
      <c r="C9" s="353"/>
      <c r="D9" s="343"/>
      <c r="E9" s="340"/>
      <c r="F9" s="367"/>
      <c r="G9" s="328"/>
      <c r="H9" s="370"/>
      <c r="I9" s="328"/>
      <c r="J9" s="201" t="s">
        <v>61</v>
      </c>
      <c r="K9" s="100" t="s">
        <v>519</v>
      </c>
      <c r="L9" s="331"/>
      <c r="M9" s="334"/>
      <c r="N9" s="334"/>
    </row>
    <row r="10" spans="1:14">
      <c r="A10" s="340"/>
      <c r="B10" s="97" t="s">
        <v>520</v>
      </c>
      <c r="C10" s="353"/>
      <c r="D10" s="343"/>
      <c r="E10" s="340"/>
      <c r="F10" s="207" t="s">
        <v>521</v>
      </c>
      <c r="G10" s="209">
        <v>132680</v>
      </c>
      <c r="H10" s="370"/>
      <c r="I10" s="328"/>
      <c r="J10" s="201" t="s">
        <v>65</v>
      </c>
      <c r="K10" s="97" t="s">
        <v>522</v>
      </c>
      <c r="L10" s="331"/>
      <c r="M10" s="334"/>
      <c r="N10" s="334"/>
    </row>
    <row r="11" spans="1:14">
      <c r="A11" s="341"/>
      <c r="B11" s="102"/>
      <c r="C11" s="354"/>
      <c r="D11" s="344"/>
      <c r="E11" s="341"/>
      <c r="F11" s="208" t="s">
        <v>398</v>
      </c>
      <c r="G11" s="210">
        <v>141240</v>
      </c>
      <c r="H11" s="371"/>
      <c r="I11" s="329"/>
      <c r="J11" s="202"/>
      <c r="K11" s="202"/>
      <c r="L11" s="332"/>
      <c r="M11" s="335"/>
      <c r="N11" s="335"/>
    </row>
    <row r="12" spans="1:14">
      <c r="A12" s="339">
        <v>2</v>
      </c>
      <c r="B12" s="94" t="s">
        <v>523</v>
      </c>
      <c r="C12" s="352">
        <v>3255</v>
      </c>
      <c r="D12" s="342">
        <v>3482.85</v>
      </c>
      <c r="E12" s="339" t="s">
        <v>56</v>
      </c>
      <c r="F12" s="324" t="s">
        <v>524</v>
      </c>
      <c r="G12" s="327">
        <v>3482.85</v>
      </c>
      <c r="H12" s="324" t="s">
        <v>524</v>
      </c>
      <c r="I12" s="327">
        <v>3482.85</v>
      </c>
      <c r="J12" s="200"/>
      <c r="K12" s="200"/>
      <c r="L12" s="330" t="s">
        <v>551</v>
      </c>
      <c r="M12" s="333" t="s">
        <v>59</v>
      </c>
      <c r="N12" s="345"/>
    </row>
    <row r="13" spans="1:14">
      <c r="A13" s="340"/>
      <c r="B13" s="97" t="s">
        <v>525</v>
      </c>
      <c r="C13" s="353"/>
      <c r="D13" s="343"/>
      <c r="E13" s="340"/>
      <c r="F13" s="325"/>
      <c r="G13" s="328"/>
      <c r="H13" s="325"/>
      <c r="I13" s="328"/>
      <c r="J13" s="201" t="s">
        <v>61</v>
      </c>
      <c r="K13" s="100" t="s">
        <v>526</v>
      </c>
      <c r="L13" s="331"/>
      <c r="M13" s="334"/>
      <c r="N13" s="346"/>
    </row>
    <row r="14" spans="1:14">
      <c r="A14" s="340"/>
      <c r="B14" s="97"/>
      <c r="C14" s="353"/>
      <c r="D14" s="343"/>
      <c r="E14" s="340"/>
      <c r="F14" s="201" t="s">
        <v>527</v>
      </c>
      <c r="G14" s="209">
        <v>4975.5</v>
      </c>
      <c r="H14" s="325"/>
      <c r="I14" s="328"/>
      <c r="J14" s="201" t="s">
        <v>65</v>
      </c>
      <c r="K14" s="97" t="s">
        <v>522</v>
      </c>
      <c r="L14" s="331"/>
      <c r="M14" s="334"/>
      <c r="N14" s="346"/>
    </row>
    <row r="15" spans="1:14">
      <c r="A15" s="341"/>
      <c r="B15" s="102"/>
      <c r="C15" s="354"/>
      <c r="D15" s="344"/>
      <c r="E15" s="341"/>
      <c r="F15" s="202" t="s">
        <v>528</v>
      </c>
      <c r="G15" s="210">
        <v>5457</v>
      </c>
      <c r="H15" s="326"/>
      <c r="I15" s="329"/>
      <c r="J15" s="202"/>
      <c r="K15" s="202"/>
      <c r="L15" s="332"/>
      <c r="M15" s="335"/>
      <c r="N15" s="347"/>
    </row>
    <row r="16" spans="1:14">
      <c r="A16" s="339">
        <v>3</v>
      </c>
      <c r="B16" s="97" t="s">
        <v>67</v>
      </c>
      <c r="C16" s="343">
        <v>450000</v>
      </c>
      <c r="D16" s="343">
        <v>436428</v>
      </c>
      <c r="E16" s="360" t="s">
        <v>56</v>
      </c>
      <c r="F16" s="324" t="s">
        <v>103</v>
      </c>
      <c r="G16" s="327">
        <v>427554</v>
      </c>
      <c r="H16" s="324" t="s">
        <v>103</v>
      </c>
      <c r="I16" s="327">
        <v>427554</v>
      </c>
      <c r="J16" s="201"/>
      <c r="K16" s="201"/>
      <c r="L16" s="330" t="s">
        <v>159</v>
      </c>
      <c r="M16" s="333" t="s">
        <v>59</v>
      </c>
      <c r="N16" s="333"/>
    </row>
    <row r="17" spans="1:14">
      <c r="A17" s="340"/>
      <c r="B17" s="97" t="s">
        <v>160</v>
      </c>
      <c r="C17" s="343"/>
      <c r="D17" s="343"/>
      <c r="E17" s="360"/>
      <c r="F17" s="325"/>
      <c r="G17" s="328"/>
      <c r="H17" s="325"/>
      <c r="I17" s="328"/>
      <c r="J17" s="201" t="s">
        <v>71</v>
      </c>
      <c r="K17" s="100" t="s">
        <v>529</v>
      </c>
      <c r="L17" s="331"/>
      <c r="M17" s="334"/>
      <c r="N17" s="334"/>
    </row>
    <row r="18" spans="1:14">
      <c r="A18" s="340"/>
      <c r="B18" s="97" t="s">
        <v>530</v>
      </c>
      <c r="C18" s="343"/>
      <c r="D18" s="343"/>
      <c r="E18" s="360"/>
      <c r="F18" s="325"/>
      <c r="G18" s="328"/>
      <c r="H18" s="325"/>
      <c r="I18" s="328"/>
      <c r="J18" s="201" t="s">
        <v>65</v>
      </c>
      <c r="K18" s="97" t="s">
        <v>531</v>
      </c>
      <c r="L18" s="331"/>
      <c r="M18" s="334"/>
      <c r="N18" s="334"/>
    </row>
    <row r="19" spans="1:14">
      <c r="A19" s="341"/>
      <c r="B19" s="97"/>
      <c r="C19" s="344"/>
      <c r="D19" s="344"/>
      <c r="E19" s="361"/>
      <c r="F19" s="326"/>
      <c r="G19" s="329"/>
      <c r="H19" s="326"/>
      <c r="I19" s="329"/>
      <c r="J19" s="201"/>
      <c r="K19" s="201"/>
      <c r="L19" s="332"/>
      <c r="M19" s="335"/>
      <c r="N19" s="335"/>
    </row>
    <row r="20" spans="1:14" ht="21" customHeight="1">
      <c r="A20" s="339">
        <v>4</v>
      </c>
      <c r="B20" s="94" t="s">
        <v>67</v>
      </c>
      <c r="C20" s="352">
        <v>450000</v>
      </c>
      <c r="D20" s="342">
        <v>398756</v>
      </c>
      <c r="E20" s="339" t="s">
        <v>56</v>
      </c>
      <c r="F20" s="324" t="s">
        <v>158</v>
      </c>
      <c r="G20" s="327">
        <v>390808</v>
      </c>
      <c r="H20" s="324" t="s">
        <v>158</v>
      </c>
      <c r="I20" s="327">
        <v>390808</v>
      </c>
      <c r="J20" s="200"/>
      <c r="K20" s="200"/>
      <c r="L20" s="330" t="s">
        <v>159</v>
      </c>
      <c r="M20" s="333" t="s">
        <v>59</v>
      </c>
      <c r="N20" s="345"/>
    </row>
    <row r="21" spans="1:14" ht="21" customHeight="1">
      <c r="A21" s="340"/>
      <c r="B21" s="97" t="s">
        <v>160</v>
      </c>
      <c r="C21" s="353"/>
      <c r="D21" s="343"/>
      <c r="E21" s="340"/>
      <c r="F21" s="325"/>
      <c r="G21" s="328"/>
      <c r="H21" s="325"/>
      <c r="I21" s="328"/>
      <c r="J21" s="201" t="s">
        <v>71</v>
      </c>
      <c r="K21" s="100" t="s">
        <v>532</v>
      </c>
      <c r="L21" s="331"/>
      <c r="M21" s="334"/>
      <c r="N21" s="346"/>
    </row>
    <row r="22" spans="1:14" ht="21" customHeight="1">
      <c r="A22" s="340"/>
      <c r="B22" s="97" t="s">
        <v>533</v>
      </c>
      <c r="C22" s="353"/>
      <c r="D22" s="343"/>
      <c r="E22" s="340"/>
      <c r="F22" s="325"/>
      <c r="G22" s="328"/>
      <c r="H22" s="325"/>
      <c r="I22" s="328"/>
      <c r="J22" s="201" t="s">
        <v>65</v>
      </c>
      <c r="K22" s="97" t="s">
        <v>534</v>
      </c>
      <c r="L22" s="331"/>
      <c r="M22" s="334"/>
      <c r="N22" s="346"/>
    </row>
    <row r="23" spans="1:14" ht="21.75" customHeight="1">
      <c r="A23" s="341"/>
      <c r="B23" s="102"/>
      <c r="C23" s="354"/>
      <c r="D23" s="344"/>
      <c r="E23" s="341"/>
      <c r="F23" s="326"/>
      <c r="G23" s="329"/>
      <c r="H23" s="326"/>
      <c r="I23" s="329"/>
      <c r="J23" s="202"/>
      <c r="K23" s="202"/>
      <c r="L23" s="332"/>
      <c r="M23" s="335"/>
      <c r="N23" s="347"/>
    </row>
    <row r="24" spans="1:14" ht="21.75" customHeight="1">
      <c r="A24" s="114"/>
      <c r="B24" s="322" t="s">
        <v>543</v>
      </c>
      <c r="C24" s="322"/>
      <c r="D24" s="322"/>
      <c r="E24" s="322"/>
      <c r="F24" s="322"/>
      <c r="G24" s="322"/>
      <c r="H24" s="323"/>
      <c r="I24" s="115">
        <f>SUM(I8:I23)</f>
        <v>940614.85</v>
      </c>
      <c r="J24" s="116"/>
      <c r="K24" s="117"/>
      <c r="L24" s="118"/>
      <c r="M24" s="119"/>
      <c r="N24" s="120"/>
    </row>
    <row r="26" spans="1:14">
      <c r="C26" s="122"/>
    </row>
    <row r="28" spans="1:14">
      <c r="A28" s="433" t="s">
        <v>546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217" t="s">
        <v>35</v>
      </c>
    </row>
    <row r="29" spans="1:14">
      <c r="A29" s="433" t="s">
        <v>2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</row>
    <row r="30" spans="1:14">
      <c r="A30" s="433" t="s">
        <v>545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</row>
    <row r="32" spans="1:14" ht="42">
      <c r="A32" s="434" t="s">
        <v>36</v>
      </c>
      <c r="B32" s="434" t="s">
        <v>37</v>
      </c>
      <c r="C32" s="84" t="s">
        <v>38</v>
      </c>
      <c r="D32" s="85" t="s">
        <v>39</v>
      </c>
      <c r="E32" s="434" t="s">
        <v>40</v>
      </c>
      <c r="F32" s="434" t="s">
        <v>41</v>
      </c>
      <c r="G32" s="434"/>
      <c r="H32" s="435" t="s">
        <v>42</v>
      </c>
      <c r="I32" s="435"/>
      <c r="J32" s="436" t="s">
        <v>43</v>
      </c>
      <c r="K32" s="436" t="s">
        <v>44</v>
      </c>
      <c r="L32" s="430" t="s">
        <v>45</v>
      </c>
      <c r="M32" s="431" t="s">
        <v>46</v>
      </c>
      <c r="N32" s="432"/>
    </row>
    <row r="33" spans="1:14" ht="63">
      <c r="A33" s="434"/>
      <c r="B33" s="434"/>
      <c r="C33" s="185" t="s">
        <v>47</v>
      </c>
      <c r="D33" s="186" t="s">
        <v>48</v>
      </c>
      <c r="E33" s="434"/>
      <c r="F33" s="218" t="s">
        <v>49</v>
      </c>
      <c r="G33" s="84" t="s">
        <v>50</v>
      </c>
      <c r="H33" s="219" t="s">
        <v>51</v>
      </c>
      <c r="I33" s="189" t="s">
        <v>52</v>
      </c>
      <c r="J33" s="434"/>
      <c r="K33" s="434"/>
      <c r="L33" s="430"/>
      <c r="M33" s="190" t="s">
        <v>53</v>
      </c>
      <c r="N33" s="211" t="s">
        <v>54</v>
      </c>
    </row>
    <row r="34" spans="1:14">
      <c r="A34" s="364">
        <v>1</v>
      </c>
      <c r="B34" s="94" t="s">
        <v>221</v>
      </c>
      <c r="C34" s="342">
        <v>1005470</v>
      </c>
      <c r="D34" s="394">
        <v>1075852.8999999999</v>
      </c>
      <c r="E34" s="339" t="s">
        <v>186</v>
      </c>
      <c r="F34" s="324" t="s">
        <v>222</v>
      </c>
      <c r="G34" s="327">
        <v>1014529</v>
      </c>
      <c r="H34" s="324" t="s">
        <v>222</v>
      </c>
      <c r="I34" s="327">
        <v>1013147.69</v>
      </c>
      <c r="J34" s="200"/>
      <c r="K34" s="200"/>
      <c r="L34" s="330" t="s">
        <v>223</v>
      </c>
      <c r="M34" s="333" t="s">
        <v>59</v>
      </c>
      <c r="N34" s="333"/>
    </row>
    <row r="35" spans="1:14">
      <c r="A35" s="360"/>
      <c r="B35" s="97" t="s">
        <v>535</v>
      </c>
      <c r="C35" s="343"/>
      <c r="D35" s="395"/>
      <c r="E35" s="340"/>
      <c r="F35" s="325"/>
      <c r="G35" s="328"/>
      <c r="H35" s="325"/>
      <c r="I35" s="328"/>
      <c r="J35" s="201" t="s">
        <v>71</v>
      </c>
      <c r="K35" s="100" t="s">
        <v>536</v>
      </c>
      <c r="L35" s="331"/>
      <c r="M35" s="334"/>
      <c r="N35" s="334"/>
    </row>
    <row r="36" spans="1:14">
      <c r="A36" s="360"/>
      <c r="B36" s="97" t="s">
        <v>537</v>
      </c>
      <c r="C36" s="343"/>
      <c r="D36" s="395"/>
      <c r="E36" s="340"/>
      <c r="F36" s="325"/>
      <c r="G36" s="328"/>
      <c r="H36" s="325"/>
      <c r="I36" s="328"/>
      <c r="J36" s="201" t="s">
        <v>65</v>
      </c>
      <c r="K36" s="97" t="s">
        <v>538</v>
      </c>
      <c r="L36" s="331"/>
      <c r="M36" s="334"/>
      <c r="N36" s="334"/>
    </row>
    <row r="37" spans="1:14">
      <c r="A37" s="360"/>
      <c r="B37" s="97"/>
      <c r="C37" s="343"/>
      <c r="D37" s="395"/>
      <c r="E37" s="340"/>
      <c r="F37" s="326"/>
      <c r="G37" s="329"/>
      <c r="H37" s="326"/>
      <c r="I37" s="328"/>
      <c r="J37" s="201"/>
      <c r="K37" s="97"/>
      <c r="L37" s="332"/>
      <c r="M37" s="335"/>
      <c r="N37" s="335"/>
    </row>
    <row r="38" spans="1:14" ht="21" customHeight="1">
      <c r="A38" s="364">
        <v>2</v>
      </c>
      <c r="B38" s="94" t="s">
        <v>539</v>
      </c>
      <c r="C38" s="342">
        <v>2056000</v>
      </c>
      <c r="D38" s="342">
        <v>2197376.61</v>
      </c>
      <c r="E38" s="364" t="s">
        <v>186</v>
      </c>
      <c r="F38" s="324" t="s">
        <v>231</v>
      </c>
      <c r="G38" s="327">
        <v>2197000</v>
      </c>
      <c r="H38" s="324" t="s">
        <v>231</v>
      </c>
      <c r="I38" s="327">
        <v>2194142</v>
      </c>
      <c r="J38" s="141"/>
      <c r="K38" s="142"/>
      <c r="L38" s="330" t="s">
        <v>232</v>
      </c>
      <c r="M38" s="333" t="s">
        <v>59</v>
      </c>
      <c r="N38" s="345"/>
    </row>
    <row r="39" spans="1:14">
      <c r="A39" s="360"/>
      <c r="B39" s="97" t="s">
        <v>225</v>
      </c>
      <c r="C39" s="343"/>
      <c r="D39" s="343"/>
      <c r="E39" s="360"/>
      <c r="F39" s="325"/>
      <c r="G39" s="328"/>
      <c r="H39" s="325"/>
      <c r="I39" s="328"/>
      <c r="J39" s="201" t="s">
        <v>71</v>
      </c>
      <c r="K39" s="100" t="s">
        <v>540</v>
      </c>
      <c r="L39" s="331"/>
      <c r="M39" s="334"/>
      <c r="N39" s="346"/>
    </row>
    <row r="40" spans="1:14">
      <c r="A40" s="360"/>
      <c r="B40" s="97" t="s">
        <v>541</v>
      </c>
      <c r="C40" s="343"/>
      <c r="D40" s="343"/>
      <c r="E40" s="360"/>
      <c r="F40" s="325"/>
      <c r="G40" s="328"/>
      <c r="H40" s="325"/>
      <c r="I40" s="328"/>
      <c r="J40" s="201" t="s">
        <v>65</v>
      </c>
      <c r="K40" s="97" t="s">
        <v>542</v>
      </c>
      <c r="L40" s="331"/>
      <c r="M40" s="334"/>
      <c r="N40" s="346"/>
    </row>
    <row r="41" spans="1:14">
      <c r="A41" s="361"/>
      <c r="B41" s="102"/>
      <c r="C41" s="344"/>
      <c r="D41" s="344"/>
      <c r="E41" s="361"/>
      <c r="F41" s="326"/>
      <c r="G41" s="329"/>
      <c r="H41" s="326"/>
      <c r="I41" s="329"/>
      <c r="J41" s="145"/>
      <c r="K41" s="146"/>
      <c r="L41" s="332"/>
      <c r="M41" s="335"/>
      <c r="N41" s="347"/>
    </row>
    <row r="42" spans="1:14" ht="21.75" customHeight="1">
      <c r="A42" s="192"/>
      <c r="B42" s="428" t="s">
        <v>493</v>
      </c>
      <c r="C42" s="428"/>
      <c r="D42" s="428"/>
      <c r="E42" s="428"/>
      <c r="F42" s="428"/>
      <c r="G42" s="428"/>
      <c r="H42" s="429"/>
      <c r="I42" s="193">
        <f>SUM(I34:I41)</f>
        <v>3207289.69</v>
      </c>
      <c r="J42" s="194"/>
      <c r="K42" s="195"/>
      <c r="L42" s="196"/>
      <c r="M42" s="197"/>
      <c r="N42" s="198"/>
    </row>
  </sheetData>
  <mergeCells count="92">
    <mergeCell ref="B42:H42"/>
    <mergeCell ref="I38:I41"/>
    <mergeCell ref="L38:L41"/>
    <mergeCell ref="F8:F9"/>
    <mergeCell ref="G8:G9"/>
    <mergeCell ref="F16:F19"/>
    <mergeCell ref="G16:G19"/>
    <mergeCell ref="F20:F23"/>
    <mergeCell ref="G34:G37"/>
    <mergeCell ref="H34:H37"/>
    <mergeCell ref="I34:I37"/>
    <mergeCell ref="A28:M28"/>
    <mergeCell ref="A29:M29"/>
    <mergeCell ref="A30:M30"/>
    <mergeCell ref="A32:A33"/>
    <mergeCell ref="B32:B33"/>
    <mergeCell ref="M38:M41"/>
    <mergeCell ref="N38:N41"/>
    <mergeCell ref="L34:L37"/>
    <mergeCell ref="M34:M37"/>
    <mergeCell ref="N34:N37"/>
    <mergeCell ref="A38:A41"/>
    <mergeCell ref="C38:C41"/>
    <mergeCell ref="D38:D41"/>
    <mergeCell ref="E38:E41"/>
    <mergeCell ref="H38:H41"/>
    <mergeCell ref="F38:F41"/>
    <mergeCell ref="G38:G41"/>
    <mergeCell ref="A34:A37"/>
    <mergeCell ref="C34:C37"/>
    <mergeCell ref="D34:D37"/>
    <mergeCell ref="E34:E37"/>
    <mergeCell ref="F34:F37"/>
    <mergeCell ref="L32:L33"/>
    <mergeCell ref="M32:N32"/>
    <mergeCell ref="B24:H24"/>
    <mergeCell ref="A20:A23"/>
    <mergeCell ref="C20:C23"/>
    <mergeCell ref="D20:D23"/>
    <mergeCell ref="E20:E23"/>
    <mergeCell ref="H20:H23"/>
    <mergeCell ref="G20:G23"/>
    <mergeCell ref="E32:E33"/>
    <mergeCell ref="F32:G32"/>
    <mergeCell ref="H32:I32"/>
    <mergeCell ref="J32:J33"/>
    <mergeCell ref="K32:K33"/>
    <mergeCell ref="I16:I19"/>
    <mergeCell ref="L16:L19"/>
    <mergeCell ref="M16:M19"/>
    <mergeCell ref="N16:N19"/>
    <mergeCell ref="L20:L23"/>
    <mergeCell ref="M20:M23"/>
    <mergeCell ref="N20:N23"/>
    <mergeCell ref="I20:I23"/>
    <mergeCell ref="A16:A19"/>
    <mergeCell ref="C16:C19"/>
    <mergeCell ref="D16:D19"/>
    <mergeCell ref="E16:E19"/>
    <mergeCell ref="H16:H19"/>
    <mergeCell ref="I8:I11"/>
    <mergeCell ref="L8:L11"/>
    <mergeCell ref="M8:M11"/>
    <mergeCell ref="N8:N11"/>
    <mergeCell ref="A12:A15"/>
    <mergeCell ref="C12:C15"/>
    <mergeCell ref="D12:D15"/>
    <mergeCell ref="E12:E15"/>
    <mergeCell ref="F12:F13"/>
    <mergeCell ref="G12:G13"/>
    <mergeCell ref="H12:H15"/>
    <mergeCell ref="I12:I15"/>
    <mergeCell ref="L12:L15"/>
    <mergeCell ref="M12:M15"/>
    <mergeCell ref="N12:N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CC57-0FCC-412B-81FB-741AEC1C9472}">
  <sheetPr>
    <tabColor rgb="FF00B0F0"/>
    <pageSetUpPr fitToPage="1"/>
  </sheetPr>
  <dimension ref="A1:BJ88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B11" sqref="B11"/>
    </sheetView>
  </sheetViews>
  <sheetFormatPr defaultColWidth="8.75" defaultRowHeight="18.75"/>
  <cols>
    <col min="1" max="1" width="8.75" style="2"/>
    <col min="2" max="2" width="39.875" style="2" customWidth="1"/>
    <col min="3" max="3" width="18.125" style="74" customWidth="1"/>
    <col min="4" max="4" width="19" style="74" customWidth="1"/>
    <col min="5" max="5" width="12" style="74" customWidth="1"/>
    <col min="6" max="6" width="13.625" style="74" customWidth="1"/>
    <col min="7" max="9" width="12.25" style="74" customWidth="1"/>
    <col min="10" max="10" width="13.25" style="74" customWidth="1"/>
    <col min="11" max="11" width="12.25" style="74" customWidth="1"/>
    <col min="12" max="15" width="12.25" style="74" hidden="1" customWidth="1"/>
    <col min="16" max="22" width="14.625" style="74" hidden="1" customWidth="1"/>
    <col min="23" max="23" width="13.875" style="74" hidden="1" customWidth="1"/>
    <col min="24" max="29" width="14.625" style="74" hidden="1" customWidth="1"/>
    <col min="30" max="30" width="13.625" style="74" customWidth="1"/>
    <col min="31" max="31" width="13.25" style="74" customWidth="1"/>
    <col min="32" max="33" width="12.25" style="2" customWidth="1"/>
    <col min="34" max="34" width="8.75" style="2"/>
    <col min="35" max="35" width="8.875" style="2" bestFit="1" customWidth="1"/>
    <col min="36" max="36" width="10.125" style="2" bestFit="1" customWidth="1"/>
    <col min="37" max="37" width="9.875" style="2" customWidth="1"/>
    <col min="38" max="38" width="8.875" style="2" bestFit="1" customWidth="1"/>
    <col min="39" max="39" width="9.125" style="2" bestFit="1" customWidth="1"/>
    <col min="40" max="41" width="9" style="2" bestFit="1" customWidth="1"/>
    <col min="42" max="44" width="9.25" style="2" bestFit="1" customWidth="1"/>
    <col min="45" max="45" width="10.375" style="2" customWidth="1"/>
    <col min="46" max="46" width="11.375" style="2" customWidth="1"/>
    <col min="47" max="47" width="11.25" style="2" customWidth="1"/>
    <col min="48" max="51" width="8.75" style="2"/>
    <col min="52" max="52" width="10.375" style="2" customWidth="1"/>
    <col min="53" max="53" width="10.75" style="2" customWidth="1"/>
    <col min="54" max="57" width="8.75" style="2"/>
    <col min="58" max="58" width="9.375" style="2" bestFit="1" customWidth="1"/>
    <col min="59" max="16384" width="8.75" style="2"/>
  </cols>
  <sheetData>
    <row r="1" spans="1:58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246"/>
    </row>
    <row r="2" spans="1:58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246"/>
    </row>
    <row r="3" spans="1:58">
      <c r="A3" s="427" t="s">
        <v>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246"/>
    </row>
    <row r="4" spans="1:58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</row>
    <row r="5" spans="1:58" ht="33.75" customHeight="1">
      <c r="A5" s="246"/>
      <c r="B5" s="246"/>
      <c r="C5" s="246"/>
      <c r="D5" s="246"/>
      <c r="E5" s="246"/>
      <c r="F5" s="423">
        <v>244258</v>
      </c>
      <c r="G5" s="419"/>
      <c r="H5" s="423">
        <v>244289</v>
      </c>
      <c r="I5" s="419"/>
      <c r="J5" s="423">
        <v>244319</v>
      </c>
      <c r="K5" s="419"/>
      <c r="L5" s="423">
        <v>244350</v>
      </c>
      <c r="M5" s="419"/>
      <c r="N5" s="423">
        <v>244381</v>
      </c>
      <c r="O5" s="419"/>
      <c r="P5" s="423">
        <v>244409</v>
      </c>
      <c r="Q5" s="419"/>
      <c r="R5" s="423">
        <v>244440</v>
      </c>
      <c r="S5" s="419"/>
      <c r="T5" s="423">
        <v>244470</v>
      </c>
      <c r="U5" s="419"/>
      <c r="V5" s="423">
        <v>244501</v>
      </c>
      <c r="W5" s="419"/>
      <c r="X5" s="423">
        <v>244531</v>
      </c>
      <c r="Y5" s="419"/>
      <c r="Z5" s="423">
        <v>244562</v>
      </c>
      <c r="AA5" s="419"/>
      <c r="AB5" s="423">
        <v>244593</v>
      </c>
      <c r="AC5" s="419"/>
      <c r="AD5" s="424" t="s">
        <v>572</v>
      </c>
      <c r="AE5" s="425"/>
      <c r="AF5" s="426"/>
      <c r="AG5" s="3"/>
    </row>
    <row r="6" spans="1:58" ht="36" customHeight="1">
      <c r="A6" s="419" t="s">
        <v>3</v>
      </c>
      <c r="B6" s="419" t="s">
        <v>4</v>
      </c>
      <c r="C6" s="420" t="s">
        <v>5</v>
      </c>
      <c r="D6" s="421"/>
      <c r="E6" s="422"/>
      <c r="F6" s="422" t="s">
        <v>6</v>
      </c>
      <c r="G6" s="418" t="s">
        <v>7</v>
      </c>
      <c r="H6" s="418" t="s">
        <v>6</v>
      </c>
      <c r="I6" s="418" t="s">
        <v>7</v>
      </c>
      <c r="J6" s="418" t="s">
        <v>6</v>
      </c>
      <c r="K6" s="420" t="s">
        <v>7</v>
      </c>
      <c r="L6" s="415" t="s">
        <v>6</v>
      </c>
      <c r="M6" s="415" t="s">
        <v>7</v>
      </c>
      <c r="N6" s="415" t="s">
        <v>6</v>
      </c>
      <c r="O6" s="415" t="s">
        <v>7</v>
      </c>
      <c r="P6" s="415" t="s">
        <v>6</v>
      </c>
      <c r="Q6" s="415" t="s">
        <v>7</v>
      </c>
      <c r="R6" s="415" t="s">
        <v>6</v>
      </c>
      <c r="S6" s="415" t="s">
        <v>7</v>
      </c>
      <c r="T6" s="415" t="s">
        <v>6</v>
      </c>
      <c r="U6" s="415" t="s">
        <v>7</v>
      </c>
      <c r="V6" s="415" t="s">
        <v>6</v>
      </c>
      <c r="W6" s="415" t="s">
        <v>7</v>
      </c>
      <c r="X6" s="415" t="s">
        <v>6</v>
      </c>
      <c r="Y6" s="415" t="s">
        <v>7</v>
      </c>
      <c r="Z6" s="415" t="s">
        <v>6</v>
      </c>
      <c r="AA6" s="415" t="s">
        <v>7</v>
      </c>
      <c r="AB6" s="415" t="s">
        <v>6</v>
      </c>
      <c r="AC6" s="415" t="s">
        <v>7</v>
      </c>
      <c r="AD6" s="418" t="s">
        <v>8</v>
      </c>
      <c r="AE6" s="418" t="s">
        <v>9</v>
      </c>
      <c r="AF6" s="417" t="s">
        <v>10</v>
      </c>
      <c r="AG6" s="3"/>
    </row>
    <row r="7" spans="1:58" s="6" customFormat="1" ht="54" customHeight="1">
      <c r="A7" s="419"/>
      <c r="B7" s="419"/>
      <c r="C7" s="247" t="s">
        <v>11</v>
      </c>
      <c r="D7" s="248" t="s">
        <v>6</v>
      </c>
      <c r="E7" s="248" t="s">
        <v>7</v>
      </c>
      <c r="F7" s="422"/>
      <c r="G7" s="418"/>
      <c r="H7" s="418"/>
      <c r="I7" s="418"/>
      <c r="J7" s="418"/>
      <c r="K7" s="420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8"/>
      <c r="AE7" s="418"/>
      <c r="AF7" s="417"/>
      <c r="AG7" s="3"/>
    </row>
    <row r="8" spans="1:58" s="6" customFormat="1" ht="21.6" customHeight="1">
      <c r="A8" s="7"/>
      <c r="B8" s="8" t="s">
        <v>494</v>
      </c>
      <c r="C8" s="9"/>
      <c r="D8" s="10"/>
      <c r="E8" s="10"/>
      <c r="F8" s="10"/>
      <c r="G8" s="9"/>
      <c r="H8" s="9"/>
      <c r="I8" s="9"/>
      <c r="J8" s="9"/>
      <c r="K8" s="11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9"/>
      <c r="AE8" s="9"/>
      <c r="AF8" s="14"/>
      <c r="AG8" s="15"/>
    </row>
    <row r="9" spans="1:58">
      <c r="A9" s="16"/>
      <c r="B9" s="17" t="s">
        <v>12</v>
      </c>
      <c r="C9" s="18"/>
      <c r="D9" s="19"/>
      <c r="E9" s="19"/>
      <c r="F9" s="19"/>
      <c r="G9" s="18"/>
      <c r="H9" s="18"/>
      <c r="I9" s="18"/>
      <c r="J9" s="18"/>
      <c r="K9" s="20"/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8"/>
      <c r="AE9" s="18"/>
      <c r="AF9" s="21"/>
    </row>
    <row r="10" spans="1:58">
      <c r="A10" s="16">
        <v>1</v>
      </c>
      <c r="B10" s="21" t="s">
        <v>13</v>
      </c>
      <c r="C10" s="22">
        <v>47238000</v>
      </c>
      <c r="D10" s="19">
        <v>47238000</v>
      </c>
      <c r="E10" s="19"/>
      <c r="F10" s="23"/>
      <c r="G10" s="24"/>
      <c r="H10" s="24">
        <f>SUM(AI10:AJ10)</f>
        <v>764824.29906542064</v>
      </c>
      <c r="I10" s="24"/>
      <c r="J10" s="24">
        <f>AK10</f>
        <v>2148672.8971962617</v>
      </c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8">
        <f>SUM(F10:AC10)</f>
        <v>2913497.1962616825</v>
      </c>
      <c r="AE10" s="18">
        <f>F10+H10+J10+L10+N10+P10+R10+T10+V10+X10+Z10+AB10</f>
        <v>2913497.1962616825</v>
      </c>
      <c r="AF10" s="25">
        <f>AE10/AD10</f>
        <v>1</v>
      </c>
      <c r="AG10" s="26"/>
      <c r="AI10" s="27">
        <f>427554-(427554*7/107)</f>
        <v>399583.17757009348</v>
      </c>
      <c r="AJ10" s="27">
        <f>390808-(390808*7/107)</f>
        <v>365241.1214953271</v>
      </c>
      <c r="AK10" s="28">
        <f>2299080-(2299080*7/107)</f>
        <v>2148672.8971962617</v>
      </c>
      <c r="AL10" s="29"/>
      <c r="AM10" s="29"/>
      <c r="AN10" s="29"/>
      <c r="AO10" s="27"/>
      <c r="AP10" s="27"/>
      <c r="AQ10" s="28"/>
      <c r="AR10" s="28"/>
      <c r="AS10" s="28"/>
      <c r="AT10" s="30"/>
      <c r="AU10" s="30"/>
      <c r="AV10" s="31"/>
      <c r="AW10" s="31"/>
      <c r="AX10" s="31"/>
      <c r="AY10" s="31"/>
      <c r="AZ10" s="27"/>
      <c r="BA10" s="27"/>
      <c r="BB10" s="32"/>
      <c r="BC10" s="33"/>
      <c r="BD10" s="33"/>
      <c r="BE10" s="33"/>
      <c r="BF10" s="29"/>
    </row>
    <row r="11" spans="1:58">
      <c r="A11" s="16">
        <v>2</v>
      </c>
      <c r="B11" s="34" t="s">
        <v>14</v>
      </c>
      <c r="C11" s="35">
        <v>2200000</v>
      </c>
      <c r="D11" s="19">
        <v>2200000</v>
      </c>
      <c r="E11" s="19"/>
      <c r="F11" s="23"/>
      <c r="G11" s="24"/>
      <c r="H11" s="24">
        <f>SUM(AI11)</f>
        <v>2050600</v>
      </c>
      <c r="I11" s="24"/>
      <c r="J11" s="18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8">
        <f>SUM(F11:AC11)</f>
        <v>2050600</v>
      </c>
      <c r="AE11" s="18">
        <f t="shared" ref="AE11:AE74" si="0">F11+H11+J11+L11+N11+P11+R11+T11+V11+X11+Z11+AB11</f>
        <v>2050600</v>
      </c>
      <c r="AF11" s="25">
        <f t="shared" ref="AF11:AF75" si="1">AE11/AD11</f>
        <v>1</v>
      </c>
      <c r="AG11" s="26"/>
      <c r="AI11" s="32">
        <f>2194142-(2194142*7/107)</f>
        <v>2050600</v>
      </c>
    </row>
    <row r="12" spans="1:58">
      <c r="A12" s="16">
        <v>3</v>
      </c>
      <c r="B12" s="34" t="s">
        <v>15</v>
      </c>
      <c r="C12" s="22">
        <v>2000000</v>
      </c>
      <c r="D12" s="19">
        <v>2000000</v>
      </c>
      <c r="E12" s="19"/>
      <c r="F12" s="23"/>
      <c r="G12" s="24"/>
      <c r="H12" s="24"/>
      <c r="I12" s="24"/>
      <c r="J12" s="18">
        <f>AI12</f>
        <v>866355.14018691587</v>
      </c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8">
        <f>SUM(F12:AC12)</f>
        <v>866355.14018691587</v>
      </c>
      <c r="AE12" s="18">
        <f t="shared" si="0"/>
        <v>866355.14018691587</v>
      </c>
      <c r="AF12" s="25">
        <f t="shared" si="1"/>
        <v>1</v>
      </c>
      <c r="AG12" s="26"/>
      <c r="AI12" s="33">
        <f>927000-(927000*7/107)</f>
        <v>866355.14018691587</v>
      </c>
      <c r="AJ12" s="27"/>
      <c r="AK12" s="27"/>
    </row>
    <row r="13" spans="1:58">
      <c r="A13" s="16">
        <v>4</v>
      </c>
      <c r="B13" s="34" t="s">
        <v>16</v>
      </c>
      <c r="C13" s="22">
        <v>5000000</v>
      </c>
      <c r="D13" s="19">
        <v>5000000</v>
      </c>
      <c r="E13" s="19"/>
      <c r="F13" s="23"/>
      <c r="G13" s="24"/>
      <c r="H13" s="24"/>
      <c r="I13" s="24"/>
      <c r="J13" s="18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8">
        <f>SUM(F13:AC13)</f>
        <v>0</v>
      </c>
      <c r="AE13" s="18">
        <f t="shared" si="0"/>
        <v>0</v>
      </c>
      <c r="AF13" s="25" t="e">
        <f t="shared" si="1"/>
        <v>#DIV/0!</v>
      </c>
      <c r="AG13" s="26"/>
      <c r="AI13" s="33"/>
      <c r="AJ13" s="33"/>
      <c r="AK13" s="27"/>
      <c r="AS13" s="27"/>
      <c r="AT13" s="27"/>
      <c r="AU13" s="27"/>
    </row>
    <row r="14" spans="1:58">
      <c r="A14" s="16">
        <v>5</v>
      </c>
      <c r="B14" s="34" t="s">
        <v>17</v>
      </c>
      <c r="C14" s="22">
        <v>0</v>
      </c>
      <c r="D14" s="19">
        <v>0</v>
      </c>
      <c r="E14" s="19"/>
      <c r="F14" s="23"/>
      <c r="G14" s="24"/>
      <c r="H14" s="24"/>
      <c r="I14" s="24"/>
      <c r="J14" s="18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8">
        <f t="shared" ref="AD14:AD75" si="2">SUM(F14:AC14)</f>
        <v>0</v>
      </c>
      <c r="AE14" s="18">
        <f t="shared" si="0"/>
        <v>0</v>
      </c>
      <c r="AF14" s="25" t="e">
        <f t="shared" si="1"/>
        <v>#DIV/0!</v>
      </c>
      <c r="AG14" s="26"/>
    </row>
    <row r="15" spans="1:58">
      <c r="A15" s="16">
        <v>6</v>
      </c>
      <c r="B15" s="21" t="s">
        <v>18</v>
      </c>
      <c r="C15" s="22">
        <v>2000000</v>
      </c>
      <c r="D15" s="36">
        <v>2000000</v>
      </c>
      <c r="E15" s="36"/>
      <c r="F15" s="37"/>
      <c r="G15" s="38"/>
      <c r="H15" s="38">
        <f>SUM(AI15)</f>
        <v>946867</v>
      </c>
      <c r="I15" s="38"/>
      <c r="J15" s="39"/>
      <c r="K15" s="40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18">
        <f t="shared" si="2"/>
        <v>946867</v>
      </c>
      <c r="AE15" s="18">
        <f t="shared" si="0"/>
        <v>946867</v>
      </c>
      <c r="AF15" s="25">
        <f t="shared" si="1"/>
        <v>1</v>
      </c>
      <c r="AG15" s="26"/>
      <c r="AI15" s="32">
        <f>1013147.69-(1013147.69*7/107)</f>
        <v>946867</v>
      </c>
    </row>
    <row r="16" spans="1:58">
      <c r="A16" s="41"/>
      <c r="B16" s="42" t="s">
        <v>19</v>
      </c>
      <c r="C16" s="43"/>
      <c r="D16" s="44"/>
      <c r="E16" s="44"/>
      <c r="F16" s="45"/>
      <c r="G16" s="46"/>
      <c r="H16" s="46"/>
      <c r="I16" s="46"/>
      <c r="J16" s="47"/>
      <c r="K16" s="48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7"/>
      <c r="AE16" s="47"/>
      <c r="AF16" s="49" t="e">
        <f t="shared" si="1"/>
        <v>#DIV/0!</v>
      </c>
      <c r="AG16" s="50"/>
    </row>
    <row r="17" spans="1:35">
      <c r="A17" s="16">
        <v>1</v>
      </c>
      <c r="B17" s="21" t="s">
        <v>498</v>
      </c>
      <c r="C17" s="51">
        <v>25000</v>
      </c>
      <c r="D17" s="18">
        <v>25000</v>
      </c>
      <c r="E17" s="19"/>
      <c r="F17" s="23">
        <f>AI17</f>
        <v>23350</v>
      </c>
      <c r="G17" s="24"/>
      <c r="H17" s="24"/>
      <c r="I17" s="24"/>
      <c r="J17" s="18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>
        <f t="shared" si="2"/>
        <v>23350</v>
      </c>
      <c r="AE17" s="18">
        <f t="shared" si="0"/>
        <v>23350</v>
      </c>
      <c r="AF17" s="25">
        <f t="shared" si="1"/>
        <v>1</v>
      </c>
      <c r="AG17" s="26"/>
      <c r="AI17" s="2">
        <f>24984.5-(24984.5*7/107)</f>
        <v>23350</v>
      </c>
    </row>
    <row r="18" spans="1:35">
      <c r="A18" s="16">
        <v>2</v>
      </c>
      <c r="B18" s="21" t="s">
        <v>499</v>
      </c>
      <c r="C18" s="51">
        <v>9800</v>
      </c>
      <c r="D18" s="19">
        <v>9800</v>
      </c>
      <c r="E18" s="19"/>
      <c r="F18" s="23">
        <f>AI18</f>
        <v>9800</v>
      </c>
      <c r="G18" s="24"/>
      <c r="H18" s="24"/>
      <c r="I18" s="24"/>
      <c r="J18" s="18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8">
        <f t="shared" si="2"/>
        <v>9800</v>
      </c>
      <c r="AE18" s="18">
        <f t="shared" si="0"/>
        <v>9800</v>
      </c>
      <c r="AF18" s="25">
        <f t="shared" si="1"/>
        <v>1</v>
      </c>
      <c r="AG18" s="26"/>
      <c r="AI18" s="2">
        <f>10486-(10486*7/107)</f>
        <v>9800</v>
      </c>
    </row>
    <row r="19" spans="1:35">
      <c r="A19" s="16">
        <v>3</v>
      </c>
      <c r="B19" s="21" t="s">
        <v>500</v>
      </c>
      <c r="C19" s="51">
        <v>2000</v>
      </c>
      <c r="D19" s="19">
        <v>2000</v>
      </c>
      <c r="E19" s="19"/>
      <c r="F19" s="23">
        <f>AI19</f>
        <v>1480</v>
      </c>
      <c r="G19" s="24"/>
      <c r="H19" s="24"/>
      <c r="I19" s="24"/>
      <c r="J19" s="18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8">
        <f t="shared" si="2"/>
        <v>1480</v>
      </c>
      <c r="AE19" s="18">
        <f t="shared" si="0"/>
        <v>1480</v>
      </c>
      <c r="AF19" s="25">
        <f t="shared" si="1"/>
        <v>1</v>
      </c>
      <c r="AG19" s="26"/>
      <c r="AI19" s="2">
        <f>1583.6-(1583.6*7/107)</f>
        <v>1480</v>
      </c>
    </row>
    <row r="20" spans="1:35">
      <c r="A20" s="16">
        <v>4</v>
      </c>
      <c r="B20" s="21"/>
      <c r="C20" s="51"/>
      <c r="D20" s="19"/>
      <c r="E20" s="19"/>
      <c r="F20" s="23"/>
      <c r="G20" s="24"/>
      <c r="H20" s="24"/>
      <c r="I20" s="24"/>
      <c r="J20" s="18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8">
        <f t="shared" si="2"/>
        <v>0</v>
      </c>
      <c r="AE20" s="18">
        <f t="shared" si="0"/>
        <v>0</v>
      </c>
      <c r="AF20" s="25" t="e">
        <f t="shared" si="1"/>
        <v>#DIV/0!</v>
      </c>
      <c r="AG20" s="26"/>
    </row>
    <row r="21" spans="1:35">
      <c r="A21" s="16">
        <v>5</v>
      </c>
      <c r="B21" s="21"/>
      <c r="C21" s="51"/>
      <c r="D21" s="19"/>
      <c r="E21" s="19"/>
      <c r="F21" s="23"/>
      <c r="G21" s="24"/>
      <c r="H21" s="24"/>
      <c r="I21" s="24"/>
      <c r="J21" s="18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8">
        <f t="shared" si="2"/>
        <v>0</v>
      </c>
      <c r="AE21" s="18">
        <f t="shared" si="0"/>
        <v>0</v>
      </c>
      <c r="AF21" s="25" t="e">
        <f t="shared" si="1"/>
        <v>#DIV/0!</v>
      </c>
      <c r="AG21" s="26"/>
      <c r="AI21" s="27"/>
    </row>
    <row r="22" spans="1:35">
      <c r="A22" s="16">
        <v>6</v>
      </c>
      <c r="B22" s="21"/>
      <c r="C22" s="51"/>
      <c r="D22" s="19"/>
      <c r="E22" s="19"/>
      <c r="F22" s="23"/>
      <c r="G22" s="24"/>
      <c r="H22" s="24"/>
      <c r="I22" s="24"/>
      <c r="J22" s="18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>
        <f t="shared" si="2"/>
        <v>0</v>
      </c>
      <c r="AE22" s="18">
        <f t="shared" si="0"/>
        <v>0</v>
      </c>
      <c r="AF22" s="25" t="e">
        <f t="shared" si="1"/>
        <v>#DIV/0!</v>
      </c>
      <c r="AG22" s="26"/>
    </row>
    <row r="23" spans="1:35">
      <c r="A23" s="16">
        <v>7</v>
      </c>
      <c r="B23" s="21"/>
      <c r="C23" s="51"/>
      <c r="D23" s="19"/>
      <c r="E23" s="19"/>
      <c r="F23" s="23"/>
      <c r="G23" s="24"/>
      <c r="H23" s="24"/>
      <c r="I23" s="24"/>
      <c r="J23" s="18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>
        <f t="shared" si="2"/>
        <v>0</v>
      </c>
      <c r="AE23" s="18">
        <f t="shared" si="0"/>
        <v>0</v>
      </c>
      <c r="AF23" s="25" t="e">
        <f t="shared" si="1"/>
        <v>#DIV/0!</v>
      </c>
      <c r="AG23" s="26"/>
      <c r="AI23" s="27"/>
    </row>
    <row r="24" spans="1:35">
      <c r="A24" s="16">
        <v>8</v>
      </c>
      <c r="B24" s="21"/>
      <c r="C24" s="51"/>
      <c r="D24" s="19"/>
      <c r="E24" s="19"/>
      <c r="F24" s="23"/>
      <c r="G24" s="24"/>
      <c r="H24" s="24"/>
      <c r="I24" s="24"/>
      <c r="J24" s="18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>
        <f t="shared" si="2"/>
        <v>0</v>
      </c>
      <c r="AE24" s="18">
        <f t="shared" si="0"/>
        <v>0</v>
      </c>
      <c r="AF24" s="25" t="e">
        <f t="shared" si="1"/>
        <v>#DIV/0!</v>
      </c>
      <c r="AG24" s="26"/>
      <c r="AI24" s="28"/>
    </row>
    <row r="25" spans="1:35">
      <c r="A25" s="16">
        <v>9</v>
      </c>
      <c r="B25" s="21"/>
      <c r="C25" s="51"/>
      <c r="D25" s="19"/>
      <c r="E25" s="19"/>
      <c r="F25" s="23"/>
      <c r="G25" s="24"/>
      <c r="H25" s="24"/>
      <c r="I25" s="24"/>
      <c r="J25" s="18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>
        <f t="shared" si="2"/>
        <v>0</v>
      </c>
      <c r="AE25" s="18">
        <f t="shared" si="0"/>
        <v>0</v>
      </c>
      <c r="AF25" s="25" t="e">
        <f t="shared" si="1"/>
        <v>#DIV/0!</v>
      </c>
      <c r="AG25" s="26"/>
      <c r="AI25" s="27"/>
    </row>
    <row r="26" spans="1:35">
      <c r="A26" s="16">
        <v>10</v>
      </c>
      <c r="B26" s="21"/>
      <c r="C26" s="51"/>
      <c r="D26" s="19"/>
      <c r="E26" s="19"/>
      <c r="F26" s="23"/>
      <c r="G26" s="24"/>
      <c r="H26" s="24"/>
      <c r="I26" s="24"/>
      <c r="J26" s="18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>
        <f t="shared" si="2"/>
        <v>0</v>
      </c>
      <c r="AE26" s="18">
        <f t="shared" si="0"/>
        <v>0</v>
      </c>
      <c r="AF26" s="25" t="e">
        <f t="shared" si="1"/>
        <v>#DIV/0!</v>
      </c>
      <c r="AG26" s="26"/>
      <c r="AI26" s="27"/>
    </row>
    <row r="27" spans="1:35">
      <c r="A27" s="16">
        <v>11</v>
      </c>
      <c r="B27" s="21"/>
      <c r="C27" s="51"/>
      <c r="D27" s="19"/>
      <c r="E27" s="19"/>
      <c r="F27" s="23"/>
      <c r="G27" s="24"/>
      <c r="H27" s="24"/>
      <c r="I27" s="24"/>
      <c r="J27" s="18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>
        <f t="shared" si="2"/>
        <v>0</v>
      </c>
      <c r="AE27" s="18">
        <f t="shared" si="0"/>
        <v>0</v>
      </c>
      <c r="AF27" s="25" t="e">
        <f t="shared" si="1"/>
        <v>#DIV/0!</v>
      </c>
      <c r="AG27" s="26"/>
      <c r="AI27" s="27"/>
    </row>
    <row r="28" spans="1:35">
      <c r="A28" s="16"/>
      <c r="B28" s="21"/>
      <c r="C28" s="51"/>
      <c r="D28" s="19"/>
      <c r="E28" s="19"/>
      <c r="F28" s="23"/>
      <c r="G28" s="24"/>
      <c r="H28" s="24"/>
      <c r="I28" s="24"/>
      <c r="J28" s="18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>
        <f t="shared" si="2"/>
        <v>0</v>
      </c>
      <c r="AE28" s="18">
        <f t="shared" si="0"/>
        <v>0</v>
      </c>
      <c r="AF28" s="25" t="e">
        <f t="shared" si="1"/>
        <v>#DIV/0!</v>
      </c>
      <c r="AG28" s="26"/>
    </row>
    <row r="29" spans="1:35">
      <c r="A29" s="16"/>
      <c r="B29" s="21"/>
      <c r="C29" s="51"/>
      <c r="D29" s="19"/>
      <c r="E29" s="19"/>
      <c r="F29" s="23"/>
      <c r="G29" s="24"/>
      <c r="H29" s="24"/>
      <c r="I29" s="24"/>
      <c r="J29" s="18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>
        <f t="shared" si="2"/>
        <v>0</v>
      </c>
      <c r="AE29" s="18">
        <f t="shared" si="0"/>
        <v>0</v>
      </c>
      <c r="AF29" s="25" t="e">
        <f t="shared" si="1"/>
        <v>#DIV/0!</v>
      </c>
      <c r="AG29" s="26"/>
    </row>
    <row r="30" spans="1:35">
      <c r="A30" s="16"/>
      <c r="B30" s="21"/>
      <c r="C30" s="51"/>
      <c r="D30" s="19"/>
      <c r="E30" s="19"/>
      <c r="F30" s="23"/>
      <c r="G30" s="24"/>
      <c r="H30" s="24"/>
      <c r="I30" s="24"/>
      <c r="J30" s="18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>
        <f t="shared" si="2"/>
        <v>0</v>
      </c>
      <c r="AE30" s="18">
        <f t="shared" si="0"/>
        <v>0</v>
      </c>
      <c r="AF30" s="25" t="e">
        <f t="shared" si="1"/>
        <v>#DIV/0!</v>
      </c>
      <c r="AG30" s="26"/>
    </row>
    <row r="31" spans="1:35" ht="18.75" customHeight="1">
      <c r="A31" s="41"/>
      <c r="B31" s="42" t="s">
        <v>20</v>
      </c>
      <c r="C31" s="43"/>
      <c r="D31" s="44"/>
      <c r="E31" s="44"/>
      <c r="F31" s="45"/>
      <c r="G31" s="46"/>
      <c r="H31" s="46"/>
      <c r="I31" s="46"/>
      <c r="J31" s="47"/>
      <c r="K31" s="48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7"/>
      <c r="AE31" s="47"/>
      <c r="AF31" s="49" t="e">
        <f t="shared" si="1"/>
        <v>#DIV/0!</v>
      </c>
      <c r="AG31" s="50"/>
    </row>
    <row r="32" spans="1:35" ht="18.75" customHeight="1">
      <c r="A32" s="16">
        <v>1</v>
      </c>
      <c r="B32" s="52" t="s">
        <v>21</v>
      </c>
      <c r="C32" s="22">
        <v>0</v>
      </c>
      <c r="D32" s="19">
        <v>0</v>
      </c>
      <c r="E32" s="19"/>
      <c r="F32" s="23"/>
      <c r="G32" s="24"/>
      <c r="H32" s="24"/>
      <c r="I32" s="24"/>
      <c r="J32" s="18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>
        <f t="shared" si="2"/>
        <v>0</v>
      </c>
      <c r="AE32" s="18">
        <f t="shared" si="0"/>
        <v>0</v>
      </c>
      <c r="AF32" s="25" t="e">
        <f t="shared" si="1"/>
        <v>#DIV/0!</v>
      </c>
      <c r="AG32" s="26"/>
    </row>
    <row r="33" spans="1:37" ht="18.75" customHeight="1">
      <c r="A33" s="16">
        <v>2</v>
      </c>
      <c r="B33" s="52" t="s">
        <v>22</v>
      </c>
      <c r="C33" s="22">
        <v>326000</v>
      </c>
      <c r="D33" s="19">
        <v>326000</v>
      </c>
      <c r="E33" s="19"/>
      <c r="F33" s="23">
        <f>AI33</f>
        <v>319213</v>
      </c>
      <c r="G33" s="24"/>
      <c r="H33" s="24"/>
      <c r="I33" s="24"/>
      <c r="J33" s="18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>
        <f t="shared" si="2"/>
        <v>319213</v>
      </c>
      <c r="AE33" s="18">
        <f t="shared" si="0"/>
        <v>319213</v>
      </c>
      <c r="AF33" s="25">
        <f t="shared" si="1"/>
        <v>1</v>
      </c>
      <c r="AG33" s="26"/>
      <c r="AI33" s="2">
        <f>341557.91-(341557.91*7/107)</f>
        <v>319213</v>
      </c>
    </row>
    <row r="34" spans="1:37" ht="18.75" customHeight="1">
      <c r="A34" s="16">
        <v>3</v>
      </c>
      <c r="B34" s="52" t="s">
        <v>23</v>
      </c>
      <c r="C34" s="22">
        <v>8199000</v>
      </c>
      <c r="D34" s="19">
        <v>8199000</v>
      </c>
      <c r="E34" s="19"/>
      <c r="F34" s="23">
        <f>AI34</f>
        <v>8126039.252336449</v>
      </c>
      <c r="G34" s="24"/>
      <c r="H34" s="24"/>
      <c r="I34" s="24"/>
      <c r="J34" s="18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>
        <f>SUM(F34:AC34)</f>
        <v>8126039.252336449</v>
      </c>
      <c r="AE34" s="18">
        <f t="shared" si="0"/>
        <v>8126039.252336449</v>
      </c>
      <c r="AF34" s="25">
        <f t="shared" si="1"/>
        <v>1</v>
      </c>
      <c r="AG34" s="53"/>
      <c r="AH34" s="54"/>
      <c r="AI34" s="2">
        <f>8694862-(8694862*7/107)</f>
        <v>8126039.252336449</v>
      </c>
      <c r="AJ34" s="32"/>
    </row>
    <row r="35" spans="1:37">
      <c r="A35" s="16">
        <v>4</v>
      </c>
      <c r="B35" s="52" t="s">
        <v>24</v>
      </c>
      <c r="C35" s="22">
        <v>2890000</v>
      </c>
      <c r="D35" s="19">
        <v>2890000</v>
      </c>
      <c r="E35" s="19"/>
      <c r="F35" s="23">
        <f>AI35</f>
        <v>1858863</v>
      </c>
      <c r="G35" s="24"/>
      <c r="H35" s="24"/>
      <c r="I35" s="24"/>
      <c r="J35" s="18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>
        <f>SUM(F35:AC35)</f>
        <v>1858863</v>
      </c>
      <c r="AE35" s="18">
        <f t="shared" si="0"/>
        <v>1858863</v>
      </c>
      <c r="AF35" s="25">
        <f t="shared" si="1"/>
        <v>1</v>
      </c>
      <c r="AG35" s="53"/>
      <c r="AH35" s="54"/>
      <c r="AI35" s="2">
        <f>1988983.41-(1988983.41*7/107)</f>
        <v>1858863</v>
      </c>
      <c r="AJ35" s="55"/>
      <c r="AK35" s="27"/>
    </row>
    <row r="36" spans="1:37">
      <c r="A36" s="16">
        <v>5</v>
      </c>
      <c r="B36" s="52" t="s">
        <v>25</v>
      </c>
      <c r="C36" s="22">
        <v>100000</v>
      </c>
      <c r="D36" s="19">
        <v>100000</v>
      </c>
      <c r="E36" s="19"/>
      <c r="F36" s="23"/>
      <c r="G36" s="24"/>
      <c r="H36" s="24"/>
      <c r="I36" s="24"/>
      <c r="J36" s="18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8">
        <f t="shared" si="2"/>
        <v>0</v>
      </c>
      <c r="AE36" s="18">
        <f t="shared" si="0"/>
        <v>0</v>
      </c>
      <c r="AF36" s="25" t="e">
        <f t="shared" si="1"/>
        <v>#DIV/0!</v>
      </c>
      <c r="AG36" s="26"/>
    </row>
    <row r="37" spans="1:37">
      <c r="A37" s="16">
        <v>6</v>
      </c>
      <c r="B37" s="52" t="s">
        <v>26</v>
      </c>
      <c r="C37" s="22">
        <v>5151600</v>
      </c>
      <c r="D37" s="19">
        <v>5151600</v>
      </c>
      <c r="E37" s="19"/>
      <c r="F37" s="23"/>
      <c r="G37" s="24"/>
      <c r="H37" s="24"/>
      <c r="I37" s="24"/>
      <c r="J37" s="18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8"/>
      <c r="AE37" s="18"/>
      <c r="AF37" s="25" t="e">
        <f t="shared" si="1"/>
        <v>#DIV/0!</v>
      </c>
      <c r="AG37" s="26"/>
    </row>
    <row r="38" spans="1:37">
      <c r="A38" s="16">
        <v>7</v>
      </c>
      <c r="B38" s="52" t="s">
        <v>27</v>
      </c>
      <c r="C38" s="22">
        <v>107200</v>
      </c>
      <c r="D38" s="19">
        <v>107200</v>
      </c>
      <c r="E38" s="19"/>
      <c r="F38" s="23"/>
      <c r="G38" s="24"/>
      <c r="H38" s="24"/>
      <c r="I38" s="24"/>
      <c r="J38" s="18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8">
        <f t="shared" si="2"/>
        <v>0</v>
      </c>
      <c r="AE38" s="18">
        <f t="shared" si="0"/>
        <v>0</v>
      </c>
      <c r="AF38" s="25" t="e">
        <f t="shared" si="1"/>
        <v>#DIV/0!</v>
      </c>
      <c r="AG38" s="26"/>
    </row>
    <row r="39" spans="1:37">
      <c r="A39" s="16">
        <v>8</v>
      </c>
      <c r="B39" s="52" t="s">
        <v>28</v>
      </c>
      <c r="C39" s="51">
        <v>45000</v>
      </c>
      <c r="D39" s="18">
        <v>45000</v>
      </c>
      <c r="E39" s="19"/>
      <c r="F39" s="23">
        <f>AI39</f>
        <v>45000</v>
      </c>
      <c r="G39" s="24"/>
      <c r="H39" s="24"/>
      <c r="I39" s="24"/>
      <c r="J39" s="18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8">
        <f t="shared" si="2"/>
        <v>45000</v>
      </c>
      <c r="AE39" s="18">
        <f t="shared" si="0"/>
        <v>45000</v>
      </c>
      <c r="AF39" s="25">
        <f t="shared" si="1"/>
        <v>1</v>
      </c>
      <c r="AG39" s="26"/>
      <c r="AI39" s="199">
        <f>48150-(48150*7/107)</f>
        <v>45000</v>
      </c>
    </row>
    <row r="40" spans="1:37">
      <c r="A40" s="16"/>
      <c r="B40" s="52" t="s">
        <v>497</v>
      </c>
      <c r="C40" s="51"/>
      <c r="D40" s="19"/>
      <c r="E40" s="19"/>
      <c r="F40" s="23"/>
      <c r="G40" s="24"/>
      <c r="H40" s="24"/>
      <c r="I40" s="24"/>
      <c r="J40" s="18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8">
        <f t="shared" ref="AD40" si="3">SUM(F40:AC40)</f>
        <v>0</v>
      </c>
      <c r="AE40" s="18">
        <f t="shared" si="0"/>
        <v>0</v>
      </c>
      <c r="AF40" s="25" t="e">
        <f t="shared" si="1"/>
        <v>#DIV/0!</v>
      </c>
      <c r="AG40" s="26"/>
      <c r="AI40" s="33"/>
    </row>
    <row r="41" spans="1:37">
      <c r="A41" s="16">
        <v>9</v>
      </c>
      <c r="B41" s="52" t="s">
        <v>28</v>
      </c>
      <c r="C41" s="51">
        <v>132000</v>
      </c>
      <c r="D41" s="18"/>
      <c r="E41" s="18">
        <v>132000</v>
      </c>
      <c r="F41" s="23"/>
      <c r="G41" s="24"/>
      <c r="H41" s="24"/>
      <c r="I41" s="24">
        <f>SUM(AI41)</f>
        <v>111000</v>
      </c>
      <c r="J41" s="18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8">
        <f t="shared" si="2"/>
        <v>111000</v>
      </c>
      <c r="AE41" s="18">
        <f t="shared" si="0"/>
        <v>0</v>
      </c>
      <c r="AF41" s="25">
        <f t="shared" si="1"/>
        <v>0</v>
      </c>
      <c r="AG41" s="26"/>
      <c r="AI41" s="2">
        <f>118770-(118770*7/107)</f>
        <v>111000</v>
      </c>
    </row>
    <row r="42" spans="1:37">
      <c r="A42" s="16"/>
      <c r="B42" s="52" t="s">
        <v>547</v>
      </c>
      <c r="C42" s="51"/>
      <c r="D42" s="19"/>
      <c r="E42" s="19"/>
      <c r="F42" s="23"/>
      <c r="G42" s="24"/>
      <c r="H42" s="24"/>
      <c r="I42" s="24"/>
      <c r="J42" s="18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8">
        <f t="shared" si="2"/>
        <v>0</v>
      </c>
      <c r="AE42" s="18">
        <f t="shared" si="0"/>
        <v>0</v>
      </c>
      <c r="AF42" s="25" t="e">
        <f t="shared" si="1"/>
        <v>#DIV/0!</v>
      </c>
      <c r="AG42" s="26"/>
    </row>
    <row r="43" spans="1:37">
      <c r="A43" s="16">
        <v>10</v>
      </c>
      <c r="B43" s="52" t="s">
        <v>548</v>
      </c>
      <c r="C43" s="51">
        <v>3255</v>
      </c>
      <c r="D43" s="19">
        <v>3255</v>
      </c>
      <c r="E43" s="19"/>
      <c r="F43" s="23"/>
      <c r="G43" s="24"/>
      <c r="H43" s="24">
        <f>SUM(AI43)</f>
        <v>3255</v>
      </c>
      <c r="I43" s="24"/>
      <c r="J43" s="18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8">
        <f t="shared" si="2"/>
        <v>3255</v>
      </c>
      <c r="AE43" s="18">
        <f t="shared" si="0"/>
        <v>3255</v>
      </c>
      <c r="AF43" s="25">
        <f t="shared" si="1"/>
        <v>1</v>
      </c>
      <c r="AG43" s="26"/>
      <c r="AI43" s="2">
        <f>3482.85-(3482.85*7/107)</f>
        <v>3255</v>
      </c>
    </row>
    <row r="44" spans="1:37">
      <c r="A44" s="16">
        <v>11</v>
      </c>
      <c r="B44" s="52" t="s">
        <v>571</v>
      </c>
      <c r="C44" s="51">
        <v>10149.52</v>
      </c>
      <c r="D44" s="19">
        <v>10149.52</v>
      </c>
      <c r="E44" s="19"/>
      <c r="F44" s="23"/>
      <c r="G44" s="24"/>
      <c r="H44" s="24"/>
      <c r="I44" s="24"/>
      <c r="J44" s="18">
        <f>AI44</f>
        <v>10149.523364485982</v>
      </c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8">
        <f t="shared" si="2"/>
        <v>10149.523364485982</v>
      </c>
      <c r="AE44" s="18">
        <f t="shared" si="0"/>
        <v>10149.523364485982</v>
      </c>
      <c r="AF44" s="25">
        <f t="shared" si="1"/>
        <v>1</v>
      </c>
      <c r="AG44" s="26"/>
      <c r="AI44" s="27">
        <f>10859.99-(10859.99*7/107)</f>
        <v>10149.523364485982</v>
      </c>
    </row>
    <row r="45" spans="1:37">
      <c r="A45" s="16">
        <v>12</v>
      </c>
      <c r="B45" s="52"/>
      <c r="C45" s="51"/>
      <c r="D45" s="19"/>
      <c r="E45" s="19"/>
      <c r="F45" s="23"/>
      <c r="G45" s="24"/>
      <c r="H45" s="24"/>
      <c r="I45" s="24"/>
      <c r="J45" s="18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8">
        <f t="shared" si="2"/>
        <v>0</v>
      </c>
      <c r="AE45" s="18">
        <f t="shared" si="0"/>
        <v>0</v>
      </c>
      <c r="AF45" s="25" t="e">
        <f t="shared" si="1"/>
        <v>#DIV/0!</v>
      </c>
      <c r="AG45" s="26"/>
    </row>
    <row r="46" spans="1:37">
      <c r="A46" s="16">
        <v>13</v>
      </c>
      <c r="B46" s="52"/>
      <c r="C46" s="51"/>
      <c r="D46" s="19"/>
      <c r="E46" s="19"/>
      <c r="F46" s="23"/>
      <c r="G46" s="24"/>
      <c r="H46" s="24"/>
      <c r="I46" s="24"/>
      <c r="J46" s="18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8">
        <f t="shared" si="2"/>
        <v>0</v>
      </c>
      <c r="AE46" s="18">
        <f t="shared" si="0"/>
        <v>0</v>
      </c>
      <c r="AF46" s="25" t="e">
        <f t="shared" si="1"/>
        <v>#DIV/0!</v>
      </c>
      <c r="AG46" s="26"/>
    </row>
    <row r="47" spans="1:37">
      <c r="A47" s="16">
        <v>14</v>
      </c>
      <c r="B47" s="52"/>
      <c r="C47" s="51"/>
      <c r="D47" s="19"/>
      <c r="E47" s="19"/>
      <c r="F47" s="23"/>
      <c r="G47" s="24"/>
      <c r="H47" s="24"/>
      <c r="I47" s="24"/>
      <c r="J47" s="18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8">
        <f t="shared" si="2"/>
        <v>0</v>
      </c>
      <c r="AE47" s="18">
        <f t="shared" si="0"/>
        <v>0</v>
      </c>
      <c r="AF47" s="25" t="e">
        <f t="shared" si="1"/>
        <v>#DIV/0!</v>
      </c>
      <c r="AG47" s="26"/>
    </row>
    <row r="48" spans="1:37">
      <c r="A48" s="16">
        <v>15</v>
      </c>
      <c r="B48" s="52"/>
      <c r="C48" s="51"/>
      <c r="D48" s="19"/>
      <c r="E48" s="19"/>
      <c r="F48" s="23"/>
      <c r="G48" s="24"/>
      <c r="H48" s="24"/>
      <c r="I48" s="24"/>
      <c r="J48" s="18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8">
        <f t="shared" si="2"/>
        <v>0</v>
      </c>
      <c r="AE48" s="18">
        <f t="shared" si="0"/>
        <v>0</v>
      </c>
      <c r="AF48" s="25" t="e">
        <f t="shared" si="1"/>
        <v>#DIV/0!</v>
      </c>
      <c r="AG48" s="26"/>
    </row>
    <row r="49" spans="1:35">
      <c r="A49" s="16">
        <v>16</v>
      </c>
      <c r="B49" s="52"/>
      <c r="C49" s="51"/>
      <c r="D49" s="19"/>
      <c r="E49" s="19"/>
      <c r="F49" s="23"/>
      <c r="G49" s="24"/>
      <c r="H49" s="24"/>
      <c r="I49" s="24"/>
      <c r="J49" s="18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8">
        <f t="shared" si="2"/>
        <v>0</v>
      </c>
      <c r="AE49" s="18">
        <f t="shared" si="0"/>
        <v>0</v>
      </c>
      <c r="AF49" s="25" t="e">
        <f t="shared" si="1"/>
        <v>#DIV/0!</v>
      </c>
      <c r="AG49" s="26"/>
    </row>
    <row r="50" spans="1:35">
      <c r="A50" s="16">
        <v>17</v>
      </c>
      <c r="B50" s="52"/>
      <c r="C50" s="51"/>
      <c r="D50" s="19"/>
      <c r="E50" s="19"/>
      <c r="F50" s="23"/>
      <c r="G50" s="24"/>
      <c r="H50" s="24"/>
      <c r="I50" s="24"/>
      <c r="J50" s="18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8">
        <f t="shared" si="2"/>
        <v>0</v>
      </c>
      <c r="AE50" s="18">
        <f t="shared" si="0"/>
        <v>0</v>
      </c>
      <c r="AF50" s="25" t="e">
        <f t="shared" si="1"/>
        <v>#DIV/0!</v>
      </c>
      <c r="AG50" s="26"/>
    </row>
    <row r="51" spans="1:35">
      <c r="A51" s="16">
        <v>18</v>
      </c>
      <c r="B51" s="52"/>
      <c r="C51" s="51"/>
      <c r="D51" s="19"/>
      <c r="E51" s="19"/>
      <c r="F51" s="23"/>
      <c r="G51" s="24"/>
      <c r="H51" s="24"/>
      <c r="I51" s="24"/>
      <c r="J51" s="18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8">
        <f t="shared" si="2"/>
        <v>0</v>
      </c>
      <c r="AE51" s="18">
        <f t="shared" si="0"/>
        <v>0</v>
      </c>
      <c r="AF51" s="25" t="e">
        <f t="shared" si="1"/>
        <v>#DIV/0!</v>
      </c>
      <c r="AG51" s="26"/>
    </row>
    <row r="52" spans="1:35">
      <c r="A52" s="16">
        <v>19</v>
      </c>
      <c r="B52" s="21"/>
      <c r="C52" s="51"/>
      <c r="D52" s="19"/>
      <c r="E52" s="19"/>
      <c r="F52" s="23"/>
      <c r="G52" s="24"/>
      <c r="H52" s="24"/>
      <c r="I52" s="24"/>
      <c r="J52" s="18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8">
        <f t="shared" si="2"/>
        <v>0</v>
      </c>
      <c r="AE52" s="18">
        <f t="shared" si="0"/>
        <v>0</v>
      </c>
      <c r="AF52" s="25" t="e">
        <f t="shared" si="1"/>
        <v>#DIV/0!</v>
      </c>
      <c r="AG52" s="26"/>
    </row>
    <row r="53" spans="1:35">
      <c r="A53" s="16">
        <v>20</v>
      </c>
      <c r="B53" s="52"/>
      <c r="C53" s="51"/>
      <c r="D53" s="19"/>
      <c r="E53" s="19"/>
      <c r="F53" s="23"/>
      <c r="G53" s="24"/>
      <c r="H53" s="24"/>
      <c r="I53" s="24"/>
      <c r="J53" s="18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8">
        <f t="shared" si="2"/>
        <v>0</v>
      </c>
      <c r="AE53" s="18">
        <f t="shared" si="0"/>
        <v>0</v>
      </c>
      <c r="AF53" s="25" t="e">
        <f t="shared" si="1"/>
        <v>#DIV/0!</v>
      </c>
      <c r="AG53" s="26"/>
    </row>
    <row r="54" spans="1:35">
      <c r="A54" s="16">
        <v>21</v>
      </c>
      <c r="B54" s="21"/>
      <c r="C54" s="51"/>
      <c r="D54" s="19"/>
      <c r="E54" s="19"/>
      <c r="F54" s="23"/>
      <c r="G54" s="24"/>
      <c r="H54" s="24"/>
      <c r="I54" s="24"/>
      <c r="J54" s="18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8">
        <f t="shared" si="2"/>
        <v>0</v>
      </c>
      <c r="AE54" s="18">
        <f t="shared" si="0"/>
        <v>0</v>
      </c>
      <c r="AF54" s="25" t="e">
        <f t="shared" si="1"/>
        <v>#DIV/0!</v>
      </c>
      <c r="AG54" s="26"/>
    </row>
    <row r="55" spans="1:35">
      <c r="A55" s="16">
        <v>22</v>
      </c>
      <c r="B55" s="21"/>
      <c r="C55" s="51"/>
      <c r="D55" s="19"/>
      <c r="E55" s="19"/>
      <c r="F55" s="23"/>
      <c r="G55" s="24"/>
      <c r="H55" s="24"/>
      <c r="I55" s="24"/>
      <c r="J55" s="18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8">
        <f t="shared" si="2"/>
        <v>0</v>
      </c>
      <c r="AE55" s="18">
        <f t="shared" si="0"/>
        <v>0</v>
      </c>
      <c r="AF55" s="25" t="e">
        <f t="shared" si="1"/>
        <v>#DIV/0!</v>
      </c>
      <c r="AG55" s="26"/>
    </row>
    <row r="56" spans="1:35">
      <c r="A56" s="16">
        <v>23</v>
      </c>
      <c r="B56" s="21"/>
      <c r="C56" s="51"/>
      <c r="D56" s="19"/>
      <c r="E56" s="19"/>
      <c r="F56" s="23"/>
      <c r="G56" s="24"/>
      <c r="H56" s="24"/>
      <c r="I56" s="24"/>
      <c r="J56" s="18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8">
        <f t="shared" si="2"/>
        <v>0</v>
      </c>
      <c r="AE56" s="18">
        <f t="shared" si="0"/>
        <v>0</v>
      </c>
      <c r="AF56" s="25" t="e">
        <f t="shared" si="1"/>
        <v>#DIV/0!</v>
      </c>
      <c r="AG56" s="26"/>
    </row>
    <row r="57" spans="1:35">
      <c r="A57" s="16">
        <v>24</v>
      </c>
      <c r="B57" s="21"/>
      <c r="C57" s="51"/>
      <c r="D57" s="19"/>
      <c r="E57" s="19"/>
      <c r="F57" s="23"/>
      <c r="G57" s="24"/>
      <c r="H57" s="24"/>
      <c r="I57" s="24"/>
      <c r="J57" s="18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8">
        <f t="shared" si="2"/>
        <v>0</v>
      </c>
      <c r="AE57" s="18">
        <f t="shared" si="0"/>
        <v>0</v>
      </c>
      <c r="AF57" s="25" t="e">
        <f t="shared" si="1"/>
        <v>#DIV/0!</v>
      </c>
      <c r="AG57" s="26"/>
    </row>
    <row r="58" spans="1:35">
      <c r="A58" s="16">
        <v>25</v>
      </c>
      <c r="B58" s="21"/>
      <c r="C58" s="51"/>
      <c r="D58" s="19"/>
      <c r="E58" s="19"/>
      <c r="F58" s="23"/>
      <c r="G58" s="24"/>
      <c r="H58" s="24"/>
      <c r="I58" s="24"/>
      <c r="J58" s="18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8">
        <f t="shared" si="2"/>
        <v>0</v>
      </c>
      <c r="AE58" s="18">
        <f t="shared" si="0"/>
        <v>0</v>
      </c>
      <c r="AF58" s="25" t="e">
        <f t="shared" si="1"/>
        <v>#DIV/0!</v>
      </c>
      <c r="AG58" s="26"/>
    </row>
    <row r="59" spans="1:35">
      <c r="A59" s="16">
        <v>26</v>
      </c>
      <c r="B59" s="21"/>
      <c r="C59" s="51"/>
      <c r="D59" s="19"/>
      <c r="E59" s="19"/>
      <c r="F59" s="23"/>
      <c r="G59" s="24"/>
      <c r="H59" s="24"/>
      <c r="I59" s="24"/>
      <c r="J59" s="18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8">
        <f t="shared" si="2"/>
        <v>0</v>
      </c>
      <c r="AE59" s="18">
        <f t="shared" si="0"/>
        <v>0</v>
      </c>
      <c r="AF59" s="25" t="e">
        <f t="shared" si="1"/>
        <v>#DIV/0!</v>
      </c>
      <c r="AG59" s="26"/>
      <c r="AI59" s="27"/>
    </row>
    <row r="60" spans="1:35">
      <c r="A60" s="16">
        <v>27</v>
      </c>
      <c r="B60" s="21"/>
      <c r="C60" s="51"/>
      <c r="D60" s="19"/>
      <c r="E60" s="19"/>
      <c r="F60" s="23"/>
      <c r="G60" s="24"/>
      <c r="H60" s="24"/>
      <c r="I60" s="24"/>
      <c r="J60" s="18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18">
        <f t="shared" si="2"/>
        <v>0</v>
      </c>
      <c r="AE60" s="18">
        <f t="shared" si="0"/>
        <v>0</v>
      </c>
      <c r="AF60" s="25" t="e">
        <f t="shared" si="1"/>
        <v>#DIV/0!</v>
      </c>
      <c r="AG60" s="26"/>
      <c r="AI60" s="27"/>
    </row>
    <row r="61" spans="1:35">
      <c r="A61" s="16">
        <v>28</v>
      </c>
      <c r="B61" s="21"/>
      <c r="C61" s="51"/>
      <c r="D61" s="19"/>
      <c r="E61" s="19"/>
      <c r="F61" s="23"/>
      <c r="G61" s="24"/>
      <c r="H61" s="24"/>
      <c r="I61" s="24"/>
      <c r="J61" s="18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18">
        <f t="shared" si="2"/>
        <v>0</v>
      </c>
      <c r="AE61" s="18">
        <f t="shared" si="0"/>
        <v>0</v>
      </c>
      <c r="AF61" s="25" t="e">
        <f t="shared" si="1"/>
        <v>#DIV/0!</v>
      </c>
      <c r="AG61" s="26"/>
    </row>
    <row r="62" spans="1:35">
      <c r="A62" s="16">
        <v>29</v>
      </c>
      <c r="B62" s="21"/>
      <c r="C62" s="51"/>
      <c r="D62" s="19"/>
      <c r="E62" s="19"/>
      <c r="F62" s="23"/>
      <c r="G62" s="24"/>
      <c r="H62" s="24"/>
      <c r="I62" s="24"/>
      <c r="J62" s="18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18">
        <f t="shared" si="2"/>
        <v>0</v>
      </c>
      <c r="AE62" s="18">
        <f t="shared" si="0"/>
        <v>0</v>
      </c>
      <c r="AF62" s="25" t="e">
        <f t="shared" si="1"/>
        <v>#DIV/0!</v>
      </c>
      <c r="AG62" s="26"/>
    </row>
    <row r="63" spans="1:35">
      <c r="A63" s="16">
        <v>30</v>
      </c>
      <c r="B63" s="21"/>
      <c r="C63" s="51"/>
      <c r="D63" s="18"/>
      <c r="E63" s="19"/>
      <c r="F63" s="23"/>
      <c r="G63" s="24"/>
      <c r="H63" s="24"/>
      <c r="I63" s="24"/>
      <c r="J63" s="18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18">
        <f t="shared" si="2"/>
        <v>0</v>
      </c>
      <c r="AE63" s="18">
        <f t="shared" si="0"/>
        <v>0</v>
      </c>
      <c r="AF63" s="25" t="e">
        <f t="shared" si="1"/>
        <v>#DIV/0!</v>
      </c>
      <c r="AG63" s="26"/>
    </row>
    <row r="64" spans="1:35">
      <c r="A64" s="16">
        <v>31</v>
      </c>
      <c r="B64" s="21"/>
      <c r="C64" s="51"/>
      <c r="D64" s="18"/>
      <c r="E64" s="19"/>
      <c r="F64" s="23"/>
      <c r="G64" s="24"/>
      <c r="H64" s="24"/>
      <c r="I64" s="24"/>
      <c r="J64" s="18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18">
        <f t="shared" si="2"/>
        <v>0</v>
      </c>
      <c r="AE64" s="18">
        <f t="shared" si="0"/>
        <v>0</v>
      </c>
      <c r="AF64" s="25" t="e">
        <f t="shared" si="1"/>
        <v>#DIV/0!</v>
      </c>
      <c r="AG64" s="26"/>
    </row>
    <row r="65" spans="1:33">
      <c r="A65" s="16">
        <v>32</v>
      </c>
      <c r="B65" s="21"/>
      <c r="C65" s="51"/>
      <c r="D65" s="18"/>
      <c r="E65" s="19"/>
      <c r="F65" s="23"/>
      <c r="G65" s="24"/>
      <c r="H65" s="24"/>
      <c r="I65" s="24"/>
      <c r="J65" s="18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18">
        <f t="shared" si="2"/>
        <v>0</v>
      </c>
      <c r="AE65" s="18">
        <f t="shared" si="0"/>
        <v>0</v>
      </c>
      <c r="AF65" s="25" t="e">
        <f t="shared" si="1"/>
        <v>#DIV/0!</v>
      </c>
      <c r="AG65" s="26"/>
    </row>
    <row r="66" spans="1:33">
      <c r="A66" s="16">
        <v>33</v>
      </c>
      <c r="B66" s="21"/>
      <c r="C66" s="51"/>
      <c r="D66" s="18"/>
      <c r="E66" s="19"/>
      <c r="F66" s="23"/>
      <c r="G66" s="24"/>
      <c r="H66" s="24"/>
      <c r="I66" s="24"/>
      <c r="J66" s="18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18">
        <f t="shared" si="2"/>
        <v>0</v>
      </c>
      <c r="AE66" s="18">
        <f t="shared" si="0"/>
        <v>0</v>
      </c>
      <c r="AF66" s="25" t="e">
        <f t="shared" si="1"/>
        <v>#DIV/0!</v>
      </c>
      <c r="AG66" s="26"/>
    </row>
    <row r="67" spans="1:33">
      <c r="A67" s="16"/>
      <c r="B67" s="21"/>
      <c r="C67" s="51"/>
      <c r="D67" s="18"/>
      <c r="E67" s="19"/>
      <c r="F67" s="23"/>
      <c r="G67" s="24"/>
      <c r="H67" s="24"/>
      <c r="I67" s="24"/>
      <c r="J67" s="18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18">
        <f t="shared" si="2"/>
        <v>0</v>
      </c>
      <c r="AE67" s="18">
        <f t="shared" si="0"/>
        <v>0</v>
      </c>
      <c r="AF67" s="25" t="e">
        <f t="shared" si="1"/>
        <v>#DIV/0!</v>
      </c>
      <c r="AG67" s="26"/>
    </row>
    <row r="68" spans="1:33">
      <c r="A68" s="16"/>
      <c r="B68" s="21"/>
      <c r="C68" s="51"/>
      <c r="D68" s="18"/>
      <c r="E68" s="19"/>
      <c r="F68" s="23"/>
      <c r="G68" s="24"/>
      <c r="H68" s="24"/>
      <c r="I68" s="24"/>
      <c r="J68" s="18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18">
        <f t="shared" si="2"/>
        <v>0</v>
      </c>
      <c r="AE68" s="18">
        <f t="shared" si="0"/>
        <v>0</v>
      </c>
      <c r="AF68" s="25" t="e">
        <f t="shared" si="1"/>
        <v>#DIV/0!</v>
      </c>
      <c r="AG68" s="26"/>
    </row>
    <row r="69" spans="1:33">
      <c r="A69" s="16"/>
      <c r="B69" s="21"/>
      <c r="C69" s="51"/>
      <c r="D69" s="19"/>
      <c r="E69" s="19"/>
      <c r="F69" s="23"/>
      <c r="G69" s="24"/>
      <c r="H69" s="24"/>
      <c r="I69" s="24"/>
      <c r="J69" s="18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18">
        <f t="shared" si="2"/>
        <v>0</v>
      </c>
      <c r="AE69" s="18">
        <f t="shared" si="0"/>
        <v>0</v>
      </c>
      <c r="AF69" s="25" t="e">
        <f t="shared" si="1"/>
        <v>#DIV/0!</v>
      </c>
      <c r="AG69" s="26"/>
    </row>
    <row r="70" spans="1:33">
      <c r="A70" s="16"/>
      <c r="B70" s="21"/>
      <c r="C70" s="51"/>
      <c r="D70" s="19"/>
      <c r="E70" s="19"/>
      <c r="F70" s="23"/>
      <c r="G70" s="24"/>
      <c r="H70" s="24"/>
      <c r="I70" s="24"/>
      <c r="J70" s="18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18">
        <f t="shared" si="2"/>
        <v>0</v>
      </c>
      <c r="AE70" s="18">
        <f t="shared" si="0"/>
        <v>0</v>
      </c>
      <c r="AF70" s="25" t="e">
        <f t="shared" si="1"/>
        <v>#DIV/0!</v>
      </c>
      <c r="AG70" s="26"/>
    </row>
    <row r="71" spans="1:33">
      <c r="A71" s="16"/>
      <c r="B71" s="21"/>
      <c r="C71" s="51"/>
      <c r="D71" s="19"/>
      <c r="E71" s="19"/>
      <c r="F71" s="23"/>
      <c r="G71" s="24"/>
      <c r="H71" s="24"/>
      <c r="I71" s="24"/>
      <c r="J71" s="18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18">
        <f t="shared" si="2"/>
        <v>0</v>
      </c>
      <c r="AE71" s="18">
        <f t="shared" si="0"/>
        <v>0</v>
      </c>
      <c r="AF71" s="25" t="e">
        <f t="shared" si="1"/>
        <v>#DIV/0!</v>
      </c>
      <c r="AG71" s="26"/>
    </row>
    <row r="72" spans="1:33">
      <c r="A72" s="16"/>
      <c r="B72" s="21"/>
      <c r="C72" s="51"/>
      <c r="D72" s="19"/>
      <c r="E72" s="19"/>
      <c r="F72" s="23"/>
      <c r="G72" s="24"/>
      <c r="H72" s="24"/>
      <c r="I72" s="24"/>
      <c r="J72" s="18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18">
        <f t="shared" si="2"/>
        <v>0</v>
      </c>
      <c r="AE72" s="18">
        <f t="shared" si="0"/>
        <v>0</v>
      </c>
      <c r="AF72" s="25" t="e">
        <f t="shared" si="1"/>
        <v>#DIV/0!</v>
      </c>
      <c r="AG72" s="26"/>
    </row>
    <row r="73" spans="1:33">
      <c r="A73" s="16"/>
      <c r="B73" s="21"/>
      <c r="C73" s="51"/>
      <c r="D73" s="19"/>
      <c r="E73" s="19"/>
      <c r="F73" s="23"/>
      <c r="G73" s="24"/>
      <c r="H73" s="24"/>
      <c r="I73" s="24"/>
      <c r="J73" s="18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18">
        <f t="shared" si="2"/>
        <v>0</v>
      </c>
      <c r="AE73" s="18">
        <f t="shared" si="0"/>
        <v>0</v>
      </c>
      <c r="AF73" s="25" t="e">
        <f t="shared" si="1"/>
        <v>#DIV/0!</v>
      </c>
      <c r="AG73" s="26"/>
    </row>
    <row r="74" spans="1:33">
      <c r="A74" s="16"/>
      <c r="B74" s="21"/>
      <c r="C74" s="51"/>
      <c r="D74" s="19"/>
      <c r="E74" s="19"/>
      <c r="F74" s="23"/>
      <c r="G74" s="24"/>
      <c r="H74" s="24"/>
      <c r="I74" s="24"/>
      <c r="J74" s="18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18">
        <f t="shared" si="2"/>
        <v>0</v>
      </c>
      <c r="AE74" s="18">
        <f t="shared" si="0"/>
        <v>0</v>
      </c>
      <c r="AF74" s="25" t="e">
        <f>AE74/AD74</f>
        <v>#DIV/0!</v>
      </c>
      <c r="AG74" s="26"/>
    </row>
    <row r="75" spans="1:33">
      <c r="A75" s="56"/>
      <c r="B75" s="57" t="s">
        <v>29</v>
      </c>
      <c r="C75" s="58"/>
      <c r="D75" s="59"/>
      <c r="E75" s="59"/>
      <c r="F75" s="60"/>
      <c r="G75" s="61"/>
      <c r="H75" s="61"/>
      <c r="I75" s="61"/>
      <c r="J75" s="59"/>
      <c r="K75" s="62"/>
      <c r="L75" s="5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59">
        <f t="shared" si="2"/>
        <v>0</v>
      </c>
      <c r="AE75" s="59">
        <f t="shared" ref="AE75" si="4">F75+H75+J75</f>
        <v>0</v>
      </c>
      <c r="AF75" s="63" t="e">
        <f t="shared" si="1"/>
        <v>#DIV/0!</v>
      </c>
      <c r="AG75" s="64"/>
    </row>
    <row r="76" spans="1:33">
      <c r="A76" s="16"/>
      <c r="B76" s="17"/>
      <c r="C76" s="51"/>
      <c r="D76" s="18"/>
      <c r="E76" s="18"/>
      <c r="F76" s="65"/>
      <c r="G76" s="24"/>
      <c r="H76" s="24"/>
      <c r="I76" s="24"/>
      <c r="J76" s="18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18"/>
      <c r="AE76" s="18"/>
      <c r="AF76" s="25"/>
      <c r="AG76" s="26"/>
    </row>
    <row r="77" spans="1:33" s="69" customFormat="1">
      <c r="A77" s="66"/>
      <c r="B77" s="66" t="s">
        <v>30</v>
      </c>
      <c r="C77" s="51">
        <f t="shared" ref="C77:AC77" si="5">SUM(C9:C75)</f>
        <v>75439004.519999996</v>
      </c>
      <c r="D77" s="51">
        <f t="shared" si="5"/>
        <v>75307004.519999996</v>
      </c>
      <c r="E77" s="51">
        <f t="shared" si="5"/>
        <v>132000</v>
      </c>
      <c r="F77" s="51">
        <f t="shared" si="5"/>
        <v>10383745.25233645</v>
      </c>
      <c r="G77" s="51">
        <f t="shared" si="5"/>
        <v>0</v>
      </c>
      <c r="H77" s="51">
        <f t="shared" si="5"/>
        <v>3765546.2990654204</v>
      </c>
      <c r="I77" s="51">
        <f t="shared" si="5"/>
        <v>111000</v>
      </c>
      <c r="J77" s="51">
        <f t="shared" si="5"/>
        <v>3025177.5607476635</v>
      </c>
      <c r="K77" s="51">
        <f t="shared" si="5"/>
        <v>0</v>
      </c>
      <c r="L77" s="51">
        <f>SUM(L9:L75)</f>
        <v>0</v>
      </c>
      <c r="M77" s="51">
        <f t="shared" si="5"/>
        <v>0</v>
      </c>
      <c r="N77" s="51">
        <f t="shared" si="5"/>
        <v>0</v>
      </c>
      <c r="O77" s="51">
        <f t="shared" si="5"/>
        <v>0</v>
      </c>
      <c r="P77" s="51">
        <f t="shared" si="5"/>
        <v>0</v>
      </c>
      <c r="Q77" s="51">
        <f t="shared" si="5"/>
        <v>0</v>
      </c>
      <c r="R77" s="51">
        <f t="shared" si="5"/>
        <v>0</v>
      </c>
      <c r="S77" s="51">
        <f t="shared" si="5"/>
        <v>0</v>
      </c>
      <c r="T77" s="51">
        <f t="shared" si="5"/>
        <v>0</v>
      </c>
      <c r="U77" s="51">
        <f t="shared" si="5"/>
        <v>0</v>
      </c>
      <c r="V77" s="51">
        <f t="shared" si="5"/>
        <v>0</v>
      </c>
      <c r="W77" s="51">
        <f t="shared" si="5"/>
        <v>0</v>
      </c>
      <c r="X77" s="51">
        <f t="shared" si="5"/>
        <v>0</v>
      </c>
      <c r="Y77" s="51">
        <f t="shared" si="5"/>
        <v>0</v>
      </c>
      <c r="Z77" s="51">
        <f t="shared" si="5"/>
        <v>0</v>
      </c>
      <c r="AA77" s="51">
        <f t="shared" si="5"/>
        <v>0</v>
      </c>
      <c r="AB77" s="51">
        <f t="shared" si="5"/>
        <v>0</v>
      </c>
      <c r="AC77" s="51">
        <f t="shared" si="5"/>
        <v>0</v>
      </c>
      <c r="AD77" s="51">
        <f>SUM(AD9:AD38)</f>
        <v>17116064.588785049</v>
      </c>
      <c r="AE77" s="51">
        <f>SUM(AE9:AE38)</f>
        <v>17116064.588785049</v>
      </c>
      <c r="AF77" s="67">
        <f>AE77/AD77</f>
        <v>1</v>
      </c>
      <c r="AG77" s="68"/>
    </row>
    <row r="78" spans="1:33" s="69" customFormat="1">
      <c r="A78" s="246"/>
      <c r="B78" s="246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68"/>
      <c r="AG78" s="68"/>
    </row>
    <row r="79" spans="1:33">
      <c r="A79" s="71"/>
      <c r="B79" s="2" t="s">
        <v>31</v>
      </c>
      <c r="C79" s="2"/>
      <c r="D79" s="72">
        <f>D77</f>
        <v>75307004.519999996</v>
      </c>
      <c r="E79" s="7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2"/>
      <c r="AE79" s="2"/>
    </row>
    <row r="80" spans="1:33" ht="19.5" thickBot="1">
      <c r="B80" s="69" t="s">
        <v>32</v>
      </c>
      <c r="C80" s="2"/>
      <c r="D80" s="76">
        <f>SUM(D79*0.3)</f>
        <v>22592101.355999999</v>
      </c>
      <c r="E80" s="77"/>
      <c r="AD80" s="69"/>
      <c r="AE80" s="2"/>
    </row>
    <row r="81" spans="1:62" ht="19.5" thickTop="1">
      <c r="C81" s="2"/>
      <c r="D81" s="2"/>
      <c r="E81" s="78"/>
      <c r="AD81" s="2"/>
      <c r="AE81" s="2"/>
      <c r="AF81" s="79"/>
      <c r="AG81" s="79"/>
    </row>
    <row r="82" spans="1:62">
      <c r="B82" s="2" t="s">
        <v>573</v>
      </c>
      <c r="C82" s="2"/>
      <c r="D82" s="77">
        <f>SUM(AE77)</f>
        <v>17116064.588785049</v>
      </c>
      <c r="E82" s="79"/>
      <c r="L82" s="51"/>
    </row>
    <row r="83" spans="1:62">
      <c r="B83" s="69" t="s">
        <v>33</v>
      </c>
      <c r="D83" s="80">
        <f>SUM(D82/D79)</f>
        <v>0.22728383233248076</v>
      </c>
    </row>
    <row r="85" spans="1:62" s="74" customFormat="1">
      <c r="A85" s="2"/>
      <c r="B85" s="2" t="s">
        <v>34</v>
      </c>
      <c r="C85" s="2"/>
      <c r="D85" s="78">
        <f>D82-D80</f>
        <v>-5476036.7672149502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8" spans="1:62" s="74" customFormat="1">
      <c r="A88" s="2"/>
      <c r="B88" s="2"/>
      <c r="C88" s="8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E680-B557-447D-91C4-488DF3526BFF}">
  <sheetPr>
    <tabColor rgb="FFFF0000"/>
  </sheetPr>
  <dimension ref="A2:N35"/>
  <sheetViews>
    <sheetView zoomScale="70" zoomScaleNormal="70" workbookViewId="0">
      <selection activeCell="F45" sqref="F45"/>
    </sheetView>
  </sheetViews>
  <sheetFormatPr defaultColWidth="9.125" defaultRowHeight="21"/>
  <cols>
    <col min="1" max="1" width="6.875" style="121" bestFit="1" customWidth="1"/>
    <col min="2" max="2" width="50.125" style="83" customWidth="1"/>
    <col min="3" max="3" width="14.375" style="123" customWidth="1"/>
    <col min="4" max="4" width="15.75" style="123" customWidth="1"/>
    <col min="5" max="5" width="13.125" style="83" customWidth="1"/>
    <col min="6" max="6" width="26.375" style="83" customWidth="1"/>
    <col min="7" max="7" width="15.125" style="123" customWidth="1"/>
    <col min="8" max="8" width="20.375" style="124" customWidth="1"/>
    <col min="9" max="9" width="18.625" style="125" customWidth="1"/>
    <col min="10" max="10" width="21" style="83" customWidth="1"/>
    <col min="11" max="11" width="28.25" style="83" customWidth="1"/>
    <col min="12" max="12" width="24.375" style="83" customWidth="1"/>
    <col min="13" max="13" width="12" style="83" customWidth="1"/>
    <col min="14" max="14" width="13.25" style="83" customWidth="1"/>
    <col min="15" max="16384" width="9.125" style="83"/>
  </cols>
  <sheetData>
    <row r="2" spans="1:14">
      <c r="A2" s="433" t="s">
        <v>554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249" t="s">
        <v>35</v>
      </c>
    </row>
    <row r="3" spans="1:1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4">
      <c r="A4" s="433" t="s">
        <v>553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4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>
      <c r="A6" s="434" t="s">
        <v>36</v>
      </c>
      <c r="B6" s="434" t="s">
        <v>37</v>
      </c>
      <c r="C6" s="84" t="s">
        <v>38</v>
      </c>
      <c r="D6" s="85" t="s">
        <v>39</v>
      </c>
      <c r="E6" s="434" t="s">
        <v>40</v>
      </c>
      <c r="F6" s="434" t="s">
        <v>41</v>
      </c>
      <c r="G6" s="434"/>
      <c r="H6" s="435" t="s">
        <v>42</v>
      </c>
      <c r="I6" s="435"/>
      <c r="J6" s="436" t="s">
        <v>43</v>
      </c>
      <c r="K6" s="436" t="s">
        <v>44</v>
      </c>
      <c r="L6" s="430" t="s">
        <v>45</v>
      </c>
      <c r="M6" s="431" t="s">
        <v>46</v>
      </c>
      <c r="N6" s="432"/>
    </row>
    <row r="7" spans="1:14" ht="63">
      <c r="A7" s="366"/>
      <c r="B7" s="366"/>
      <c r="C7" s="86" t="s">
        <v>47</v>
      </c>
      <c r="D7" s="87" t="s">
        <v>48</v>
      </c>
      <c r="E7" s="366"/>
      <c r="F7" s="234" t="s">
        <v>49</v>
      </c>
      <c r="G7" s="235" t="s">
        <v>50</v>
      </c>
      <c r="H7" s="244" t="s">
        <v>51</v>
      </c>
      <c r="I7" s="238" t="s">
        <v>52</v>
      </c>
      <c r="J7" s="434"/>
      <c r="K7" s="434"/>
      <c r="L7" s="437"/>
      <c r="M7" s="245" t="s">
        <v>53</v>
      </c>
      <c r="N7" s="237" t="s">
        <v>54</v>
      </c>
    </row>
    <row r="8" spans="1:14" ht="21" customHeight="1">
      <c r="A8" s="339">
        <v>1</v>
      </c>
      <c r="B8" s="94" t="s">
        <v>564</v>
      </c>
      <c r="C8" s="352">
        <v>10149.52</v>
      </c>
      <c r="D8" s="342">
        <v>10859.99</v>
      </c>
      <c r="E8" s="339" t="s">
        <v>56</v>
      </c>
      <c r="F8" s="234" t="s">
        <v>261</v>
      </c>
      <c r="G8" s="235">
        <v>10859.99</v>
      </c>
      <c r="H8" s="369" t="s">
        <v>261</v>
      </c>
      <c r="I8" s="327">
        <v>10859.99</v>
      </c>
      <c r="J8" s="231"/>
      <c r="K8" s="231"/>
      <c r="L8" s="330" t="s">
        <v>375</v>
      </c>
      <c r="M8" s="333" t="s">
        <v>59</v>
      </c>
      <c r="N8" s="333"/>
    </row>
    <row r="9" spans="1:14" ht="21" customHeight="1">
      <c r="A9" s="340"/>
      <c r="B9" s="97" t="s">
        <v>565</v>
      </c>
      <c r="C9" s="353"/>
      <c r="D9" s="343"/>
      <c r="E9" s="340"/>
      <c r="F9" s="360" t="s">
        <v>267</v>
      </c>
      <c r="G9" s="350">
        <v>12091</v>
      </c>
      <c r="H9" s="370"/>
      <c r="I9" s="328"/>
      <c r="J9" s="232" t="s">
        <v>61</v>
      </c>
      <c r="K9" s="100" t="s">
        <v>566</v>
      </c>
      <c r="L9" s="331"/>
      <c r="M9" s="334"/>
      <c r="N9" s="334"/>
    </row>
    <row r="10" spans="1:14" ht="21" customHeight="1">
      <c r="A10" s="340"/>
      <c r="B10" s="97" t="s">
        <v>567</v>
      </c>
      <c r="C10" s="353"/>
      <c r="D10" s="343"/>
      <c r="E10" s="340"/>
      <c r="F10" s="360"/>
      <c r="G10" s="350"/>
      <c r="H10" s="370"/>
      <c r="I10" s="328"/>
      <c r="J10" s="232" t="s">
        <v>65</v>
      </c>
      <c r="K10" s="97" t="s">
        <v>568</v>
      </c>
      <c r="L10" s="331"/>
      <c r="M10" s="334"/>
      <c r="N10" s="334"/>
    </row>
    <row r="11" spans="1:14" ht="21" customHeight="1">
      <c r="A11" s="341"/>
      <c r="B11" s="102" t="s">
        <v>569</v>
      </c>
      <c r="C11" s="354"/>
      <c r="D11" s="344"/>
      <c r="E11" s="341"/>
      <c r="F11" s="240" t="s">
        <v>570</v>
      </c>
      <c r="G11" s="242">
        <v>12155.2</v>
      </c>
      <c r="H11" s="371"/>
      <c r="I11" s="329"/>
      <c r="J11" s="233"/>
      <c r="K11" s="233"/>
      <c r="L11" s="332"/>
      <c r="M11" s="335"/>
      <c r="N11" s="335"/>
    </row>
    <row r="12" spans="1:14" ht="21.75" customHeight="1">
      <c r="A12" s="114"/>
      <c r="B12" s="322" t="s">
        <v>552</v>
      </c>
      <c r="C12" s="322"/>
      <c r="D12" s="322"/>
      <c r="E12" s="322"/>
      <c r="F12" s="322"/>
      <c r="G12" s="322"/>
      <c r="H12" s="323"/>
      <c r="I12" s="115">
        <f>SUM(I8:I11)</f>
        <v>10859.99</v>
      </c>
      <c r="J12" s="116"/>
      <c r="K12" s="117"/>
      <c r="L12" s="118"/>
      <c r="M12" s="119"/>
      <c r="N12" s="120"/>
    </row>
    <row r="14" spans="1:14">
      <c r="C14" s="122"/>
    </row>
    <row r="16" spans="1:14">
      <c r="A16" s="433" t="s">
        <v>555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249" t="s">
        <v>35</v>
      </c>
    </row>
    <row r="17" spans="1:14">
      <c r="A17" s="433" t="s">
        <v>2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</row>
    <row r="18" spans="1:14">
      <c r="A18" s="433" t="s">
        <v>553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</row>
    <row r="20" spans="1:14" ht="42">
      <c r="A20" s="434" t="s">
        <v>36</v>
      </c>
      <c r="B20" s="434" t="s">
        <v>37</v>
      </c>
      <c r="C20" s="84" t="s">
        <v>38</v>
      </c>
      <c r="D20" s="85" t="s">
        <v>39</v>
      </c>
      <c r="E20" s="434" t="s">
        <v>40</v>
      </c>
      <c r="F20" s="434" t="s">
        <v>41</v>
      </c>
      <c r="G20" s="434"/>
      <c r="H20" s="435" t="s">
        <v>42</v>
      </c>
      <c r="I20" s="435"/>
      <c r="J20" s="436" t="s">
        <v>43</v>
      </c>
      <c r="K20" s="436" t="s">
        <v>44</v>
      </c>
      <c r="L20" s="430" t="s">
        <v>45</v>
      </c>
      <c r="M20" s="431" t="s">
        <v>46</v>
      </c>
      <c r="N20" s="432"/>
    </row>
    <row r="21" spans="1:14" ht="63">
      <c r="A21" s="434"/>
      <c r="B21" s="434"/>
      <c r="C21" s="185" t="s">
        <v>47</v>
      </c>
      <c r="D21" s="186" t="s">
        <v>48</v>
      </c>
      <c r="E21" s="434"/>
      <c r="F21" s="250" t="s">
        <v>49</v>
      </c>
      <c r="G21" s="84" t="s">
        <v>50</v>
      </c>
      <c r="H21" s="251" t="s">
        <v>51</v>
      </c>
      <c r="I21" s="189" t="s">
        <v>52</v>
      </c>
      <c r="J21" s="434"/>
      <c r="K21" s="434"/>
      <c r="L21" s="430"/>
      <c r="M21" s="190" t="s">
        <v>53</v>
      </c>
      <c r="N21" s="243" t="s">
        <v>54</v>
      </c>
    </row>
    <row r="22" spans="1:14">
      <c r="A22" s="364">
        <v>1</v>
      </c>
      <c r="B22" s="94" t="s">
        <v>272</v>
      </c>
      <c r="C22" s="342">
        <v>1120000</v>
      </c>
      <c r="D22" s="394">
        <v>1189184</v>
      </c>
      <c r="E22" s="339" t="s">
        <v>186</v>
      </c>
      <c r="F22" s="324" t="s">
        <v>233</v>
      </c>
      <c r="G22" s="327">
        <v>927000</v>
      </c>
      <c r="H22" s="324" t="s">
        <v>233</v>
      </c>
      <c r="I22" s="327">
        <v>927000</v>
      </c>
      <c r="J22" s="231"/>
      <c r="K22" s="231"/>
      <c r="L22" s="330" t="s">
        <v>104</v>
      </c>
      <c r="M22" s="333" t="s">
        <v>59</v>
      </c>
      <c r="N22" s="333"/>
    </row>
    <row r="23" spans="1:14">
      <c r="A23" s="360"/>
      <c r="B23" s="97" t="s">
        <v>556</v>
      </c>
      <c r="C23" s="343"/>
      <c r="D23" s="395"/>
      <c r="E23" s="340"/>
      <c r="F23" s="325"/>
      <c r="G23" s="328"/>
      <c r="H23" s="325"/>
      <c r="I23" s="328"/>
      <c r="J23" s="232" t="s">
        <v>71</v>
      </c>
      <c r="K23" s="100" t="s">
        <v>557</v>
      </c>
      <c r="L23" s="331"/>
      <c r="M23" s="334"/>
      <c r="N23" s="334"/>
    </row>
    <row r="24" spans="1:14">
      <c r="A24" s="360"/>
      <c r="B24" s="97" t="s">
        <v>558</v>
      </c>
      <c r="C24" s="343"/>
      <c r="D24" s="395"/>
      <c r="E24" s="340"/>
      <c r="F24" s="325"/>
      <c r="G24" s="328"/>
      <c r="H24" s="325"/>
      <c r="I24" s="328"/>
      <c r="J24" s="232" t="s">
        <v>65</v>
      </c>
      <c r="K24" s="97" t="s">
        <v>559</v>
      </c>
      <c r="L24" s="331"/>
      <c r="M24" s="334"/>
      <c r="N24" s="334"/>
    </row>
    <row r="25" spans="1:14">
      <c r="A25" s="360"/>
      <c r="B25" s="97"/>
      <c r="C25" s="343"/>
      <c r="D25" s="395"/>
      <c r="E25" s="340"/>
      <c r="F25" s="326"/>
      <c r="G25" s="329"/>
      <c r="H25" s="326"/>
      <c r="I25" s="329"/>
      <c r="J25" s="232"/>
      <c r="K25" s="97"/>
      <c r="L25" s="332"/>
      <c r="M25" s="335"/>
      <c r="N25" s="335"/>
    </row>
    <row r="26" spans="1:14" ht="21" customHeight="1">
      <c r="A26" s="364">
        <v>2</v>
      </c>
      <c r="B26" s="94" t="s">
        <v>67</v>
      </c>
      <c r="C26" s="342">
        <v>4300000</v>
      </c>
      <c r="D26" s="342">
        <v>4539079</v>
      </c>
      <c r="E26" s="364" t="s">
        <v>186</v>
      </c>
      <c r="F26" s="236" t="s">
        <v>327</v>
      </c>
      <c r="G26" s="235">
        <v>2300000</v>
      </c>
      <c r="H26" s="324" t="s">
        <v>327</v>
      </c>
      <c r="I26" s="327">
        <v>2299080</v>
      </c>
      <c r="J26" s="141"/>
      <c r="K26" s="142"/>
      <c r="L26" s="330" t="s">
        <v>159</v>
      </c>
      <c r="M26" s="333" t="s">
        <v>59</v>
      </c>
      <c r="N26" s="345"/>
    </row>
    <row r="27" spans="1:14" ht="21" customHeight="1">
      <c r="A27" s="360"/>
      <c r="B27" s="97" t="s">
        <v>160</v>
      </c>
      <c r="C27" s="343"/>
      <c r="D27" s="343"/>
      <c r="E27" s="360"/>
      <c r="F27" s="239" t="s">
        <v>200</v>
      </c>
      <c r="G27" s="241">
        <v>2830000</v>
      </c>
      <c r="H27" s="325"/>
      <c r="I27" s="328"/>
      <c r="J27" s="232"/>
      <c r="K27" s="100"/>
      <c r="L27" s="331"/>
      <c r="M27" s="334"/>
      <c r="N27" s="346"/>
    </row>
    <row r="28" spans="1:14" ht="21" customHeight="1">
      <c r="A28" s="360"/>
      <c r="B28" s="97" t="s">
        <v>560</v>
      </c>
      <c r="C28" s="343"/>
      <c r="D28" s="343"/>
      <c r="E28" s="360"/>
      <c r="F28" s="239" t="s">
        <v>278</v>
      </c>
      <c r="G28" s="241">
        <v>3172000</v>
      </c>
      <c r="H28" s="325"/>
      <c r="I28" s="328"/>
      <c r="J28" s="232"/>
      <c r="K28" s="97"/>
      <c r="L28" s="331"/>
      <c r="M28" s="334"/>
      <c r="N28" s="346"/>
    </row>
    <row r="29" spans="1:14" ht="21" customHeight="1">
      <c r="A29" s="360"/>
      <c r="B29" s="97"/>
      <c r="C29" s="343"/>
      <c r="D29" s="343"/>
      <c r="E29" s="360"/>
      <c r="F29" s="239" t="s">
        <v>233</v>
      </c>
      <c r="G29" s="241">
        <v>3388000</v>
      </c>
      <c r="H29" s="325"/>
      <c r="I29" s="328"/>
      <c r="J29" s="175"/>
      <c r="K29" s="97"/>
      <c r="L29" s="331"/>
      <c r="M29" s="334"/>
      <c r="N29" s="346"/>
    </row>
    <row r="30" spans="1:14" ht="21" customHeight="1">
      <c r="A30" s="360"/>
      <c r="B30" s="97"/>
      <c r="C30" s="343"/>
      <c r="D30" s="343"/>
      <c r="E30" s="360"/>
      <c r="F30" s="239" t="s">
        <v>285</v>
      </c>
      <c r="G30" s="241">
        <v>3400000</v>
      </c>
      <c r="H30" s="325"/>
      <c r="I30" s="328"/>
      <c r="J30" s="232" t="s">
        <v>61</v>
      </c>
      <c r="K30" s="100" t="s">
        <v>561</v>
      </c>
      <c r="L30" s="331"/>
      <c r="M30" s="334"/>
      <c r="N30" s="346"/>
    </row>
    <row r="31" spans="1:14" ht="21" customHeight="1">
      <c r="A31" s="360"/>
      <c r="B31" s="97"/>
      <c r="C31" s="343"/>
      <c r="D31" s="343"/>
      <c r="E31" s="360"/>
      <c r="F31" s="348" t="s">
        <v>158</v>
      </c>
      <c r="G31" s="350">
        <v>3800000</v>
      </c>
      <c r="H31" s="325"/>
      <c r="I31" s="328"/>
      <c r="J31" s="232" t="s">
        <v>65</v>
      </c>
      <c r="K31" s="97" t="s">
        <v>562</v>
      </c>
      <c r="L31" s="331"/>
      <c r="M31" s="334"/>
      <c r="N31" s="346"/>
    </row>
    <row r="32" spans="1:14">
      <c r="A32" s="360"/>
      <c r="B32" s="97"/>
      <c r="C32" s="343"/>
      <c r="D32" s="343"/>
      <c r="E32" s="360"/>
      <c r="F32" s="348"/>
      <c r="G32" s="350"/>
      <c r="H32" s="325"/>
      <c r="I32" s="328"/>
      <c r="J32" s="175"/>
      <c r="K32" s="97"/>
      <c r="L32" s="331"/>
      <c r="M32" s="334"/>
      <c r="N32" s="346"/>
    </row>
    <row r="33" spans="1:14">
      <c r="A33" s="360"/>
      <c r="B33" s="97"/>
      <c r="C33" s="343"/>
      <c r="D33" s="343"/>
      <c r="E33" s="360"/>
      <c r="F33" s="348" t="s">
        <v>563</v>
      </c>
      <c r="G33" s="350">
        <v>4055222</v>
      </c>
      <c r="H33" s="325"/>
      <c r="I33" s="328"/>
      <c r="J33" s="175"/>
      <c r="K33" s="97"/>
      <c r="L33" s="331"/>
      <c r="M33" s="334"/>
      <c r="N33" s="346"/>
    </row>
    <row r="34" spans="1:14">
      <c r="A34" s="361"/>
      <c r="B34" s="102"/>
      <c r="C34" s="344"/>
      <c r="D34" s="344"/>
      <c r="E34" s="361"/>
      <c r="F34" s="349"/>
      <c r="G34" s="351"/>
      <c r="H34" s="326"/>
      <c r="I34" s="329"/>
      <c r="J34" s="145"/>
      <c r="K34" s="146"/>
      <c r="L34" s="332"/>
      <c r="M34" s="335"/>
      <c r="N34" s="347"/>
    </row>
    <row r="35" spans="1:14" ht="21.75" customHeight="1">
      <c r="A35" s="192"/>
      <c r="B35" s="428" t="s">
        <v>493</v>
      </c>
      <c r="C35" s="428"/>
      <c r="D35" s="428"/>
      <c r="E35" s="428"/>
      <c r="F35" s="428"/>
      <c r="G35" s="428"/>
      <c r="H35" s="429"/>
      <c r="I35" s="193">
        <f>SUM(I22:I34)</f>
        <v>3226080</v>
      </c>
      <c r="J35" s="194"/>
      <c r="K35" s="195"/>
      <c r="L35" s="196"/>
      <c r="M35" s="197"/>
      <c r="N35" s="198"/>
    </row>
  </sheetData>
  <mergeCells count="61">
    <mergeCell ref="G22:G25"/>
    <mergeCell ref="A8:A11"/>
    <mergeCell ref="C8:C11"/>
    <mergeCell ref="D8:D11"/>
    <mergeCell ref="E8:E11"/>
    <mergeCell ref="B12:H12"/>
    <mergeCell ref="A16:M16"/>
    <mergeCell ref="A17:M17"/>
    <mergeCell ref="A18:M18"/>
    <mergeCell ref="A20:A21"/>
    <mergeCell ref="B20:B21"/>
    <mergeCell ref="E20:E21"/>
    <mergeCell ref="F20:G20"/>
    <mergeCell ref="H20:I20"/>
    <mergeCell ref="J20:J21"/>
    <mergeCell ref="H8:H11"/>
    <mergeCell ref="A26:A34"/>
    <mergeCell ref="C26:C34"/>
    <mergeCell ref="D26:D34"/>
    <mergeCell ref="E26:E34"/>
    <mergeCell ref="A22:A25"/>
    <mergeCell ref="C22:C25"/>
    <mergeCell ref="D22:D25"/>
    <mergeCell ref="E22:E25"/>
    <mergeCell ref="L26:L34"/>
    <mergeCell ref="M26:M34"/>
    <mergeCell ref="N26:N34"/>
    <mergeCell ref="B35:H35"/>
    <mergeCell ref="I22:I25"/>
    <mergeCell ref="L22:L25"/>
    <mergeCell ref="M22:M25"/>
    <mergeCell ref="N22:N25"/>
    <mergeCell ref="H22:H25"/>
    <mergeCell ref="H26:H34"/>
    <mergeCell ref="I26:I34"/>
    <mergeCell ref="F31:F32"/>
    <mergeCell ref="G31:G32"/>
    <mergeCell ref="F33:F34"/>
    <mergeCell ref="G33:G34"/>
    <mergeCell ref="F22:F25"/>
    <mergeCell ref="N8:N11"/>
    <mergeCell ref="L6:L7"/>
    <mergeCell ref="M6:N6"/>
    <mergeCell ref="K20:K21"/>
    <mergeCell ref="L20:L21"/>
    <mergeCell ref="M20:N20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8:L11"/>
    <mergeCell ref="M8:M11"/>
    <mergeCell ref="F9:F10"/>
    <mergeCell ref="G9:G10"/>
  </mergeCells>
  <printOptions horizontalCentered="1"/>
  <pageMargins left="0" right="0" top="0.74803149606299213" bottom="0.43307086614173229" header="0" footer="0"/>
  <pageSetup paperSize="9"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DAB0-6451-4794-995E-78ECEF1ACF26}">
  <sheetPr>
    <tabColor rgb="FF00B0F0"/>
    <pageSetUpPr fitToPage="1"/>
  </sheetPr>
  <dimension ref="A1:BJ88"/>
  <sheetViews>
    <sheetView topLeftCell="B4" zoomScale="85" zoomScaleNormal="85" zoomScaleSheetLayoutView="100" workbookViewId="0">
      <pane ySplit="4" topLeftCell="A8" activePane="bottomLeft" state="frozen"/>
      <selection activeCell="R4" sqref="R4"/>
      <selection pane="bottomLeft" activeCell="B14" sqref="B14"/>
    </sheetView>
  </sheetViews>
  <sheetFormatPr defaultColWidth="8.75" defaultRowHeight="18.75"/>
  <cols>
    <col min="1" max="1" width="8.75" style="2"/>
    <col min="2" max="2" width="39.875" style="2" customWidth="1"/>
    <col min="3" max="3" width="18.125" style="74" customWidth="1"/>
    <col min="4" max="4" width="19" style="74" customWidth="1"/>
    <col min="5" max="5" width="12" style="74" customWidth="1"/>
    <col min="6" max="6" width="13.625" style="74" customWidth="1"/>
    <col min="7" max="9" width="12.25" style="74" customWidth="1"/>
    <col min="10" max="10" width="13.25" style="74" customWidth="1"/>
    <col min="11" max="13" width="12.25" style="74" customWidth="1"/>
    <col min="14" max="15" width="12.25" style="74" hidden="1" customWidth="1"/>
    <col min="16" max="22" width="14.625" style="74" hidden="1" customWidth="1"/>
    <col min="23" max="23" width="13.875" style="74" hidden="1" customWidth="1"/>
    <col min="24" max="29" width="14.625" style="74" hidden="1" customWidth="1"/>
    <col min="30" max="30" width="13.625" style="74" customWidth="1"/>
    <col min="31" max="31" width="13.25" style="74" customWidth="1"/>
    <col min="32" max="33" width="12.25" style="2" customWidth="1"/>
    <col min="34" max="34" width="8.75" style="2"/>
    <col min="35" max="35" width="8.875" style="2" bestFit="1" customWidth="1"/>
    <col min="36" max="36" width="10.125" style="2" bestFit="1" customWidth="1"/>
    <col min="37" max="37" width="9.875" style="2" customWidth="1"/>
    <col min="38" max="38" width="8.875" style="2" bestFit="1" customWidth="1"/>
    <col min="39" max="39" width="9.125" style="2" bestFit="1" customWidth="1"/>
    <col min="40" max="41" width="9" style="2" bestFit="1" customWidth="1"/>
    <col min="42" max="44" width="9.25" style="2" bestFit="1" customWidth="1"/>
    <col min="45" max="45" width="10.375" style="2" customWidth="1"/>
    <col min="46" max="46" width="11.375" style="2" customWidth="1"/>
    <col min="47" max="47" width="11.25" style="2" customWidth="1"/>
    <col min="48" max="51" width="8.75" style="2"/>
    <col min="52" max="52" width="10.375" style="2" customWidth="1"/>
    <col min="53" max="53" width="10.75" style="2" customWidth="1"/>
    <col min="54" max="57" width="8.75" style="2"/>
    <col min="58" max="58" width="9.375" style="2" bestFit="1" customWidth="1"/>
    <col min="59" max="16384" width="8.75" style="2"/>
  </cols>
  <sheetData>
    <row r="1" spans="1:58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277"/>
    </row>
    <row r="2" spans="1:58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277"/>
    </row>
    <row r="3" spans="1:58">
      <c r="A3" s="427" t="s">
        <v>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277"/>
    </row>
    <row r="4" spans="1:58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</row>
    <row r="5" spans="1:58" ht="33.75" customHeight="1">
      <c r="A5" s="277"/>
      <c r="B5" s="277"/>
      <c r="C5" s="277"/>
      <c r="D5" s="277"/>
      <c r="E5" s="277"/>
      <c r="F5" s="423">
        <v>244258</v>
      </c>
      <c r="G5" s="419"/>
      <c r="H5" s="423">
        <v>244289</v>
      </c>
      <c r="I5" s="419"/>
      <c r="J5" s="423">
        <v>244319</v>
      </c>
      <c r="K5" s="419"/>
      <c r="L5" s="423">
        <v>244350</v>
      </c>
      <c r="M5" s="419"/>
      <c r="N5" s="423">
        <v>244381</v>
      </c>
      <c r="O5" s="419"/>
      <c r="P5" s="423">
        <v>244409</v>
      </c>
      <c r="Q5" s="419"/>
      <c r="R5" s="423">
        <v>244440</v>
      </c>
      <c r="S5" s="419"/>
      <c r="T5" s="423">
        <v>244470</v>
      </c>
      <c r="U5" s="419"/>
      <c r="V5" s="423">
        <v>244501</v>
      </c>
      <c r="W5" s="419"/>
      <c r="X5" s="423">
        <v>244531</v>
      </c>
      <c r="Y5" s="419"/>
      <c r="Z5" s="423">
        <v>244562</v>
      </c>
      <c r="AA5" s="419"/>
      <c r="AB5" s="423">
        <v>244593</v>
      </c>
      <c r="AC5" s="419"/>
      <c r="AD5" s="424" t="s">
        <v>611</v>
      </c>
      <c r="AE5" s="425"/>
      <c r="AF5" s="426"/>
      <c r="AG5" s="3"/>
    </row>
    <row r="6" spans="1:58" ht="36" customHeight="1">
      <c r="A6" s="419" t="s">
        <v>3</v>
      </c>
      <c r="B6" s="419" t="s">
        <v>4</v>
      </c>
      <c r="C6" s="420" t="s">
        <v>5</v>
      </c>
      <c r="D6" s="421"/>
      <c r="E6" s="422"/>
      <c r="F6" s="422" t="s">
        <v>6</v>
      </c>
      <c r="G6" s="418" t="s">
        <v>7</v>
      </c>
      <c r="H6" s="418" t="s">
        <v>6</v>
      </c>
      <c r="I6" s="418" t="s">
        <v>7</v>
      </c>
      <c r="J6" s="418" t="s">
        <v>6</v>
      </c>
      <c r="K6" s="420" t="s">
        <v>7</v>
      </c>
      <c r="L6" s="415" t="s">
        <v>6</v>
      </c>
      <c r="M6" s="415" t="s">
        <v>7</v>
      </c>
      <c r="N6" s="415" t="s">
        <v>6</v>
      </c>
      <c r="O6" s="415" t="s">
        <v>7</v>
      </c>
      <c r="P6" s="415" t="s">
        <v>6</v>
      </c>
      <c r="Q6" s="415" t="s">
        <v>7</v>
      </c>
      <c r="R6" s="415" t="s">
        <v>6</v>
      </c>
      <c r="S6" s="415" t="s">
        <v>7</v>
      </c>
      <c r="T6" s="415" t="s">
        <v>6</v>
      </c>
      <c r="U6" s="415" t="s">
        <v>7</v>
      </c>
      <c r="V6" s="415" t="s">
        <v>6</v>
      </c>
      <c r="W6" s="415" t="s">
        <v>7</v>
      </c>
      <c r="X6" s="415" t="s">
        <v>6</v>
      </c>
      <c r="Y6" s="415" t="s">
        <v>7</v>
      </c>
      <c r="Z6" s="415" t="s">
        <v>6</v>
      </c>
      <c r="AA6" s="415" t="s">
        <v>7</v>
      </c>
      <c r="AB6" s="415" t="s">
        <v>6</v>
      </c>
      <c r="AC6" s="415" t="s">
        <v>7</v>
      </c>
      <c r="AD6" s="418" t="s">
        <v>8</v>
      </c>
      <c r="AE6" s="418" t="s">
        <v>9</v>
      </c>
      <c r="AF6" s="417" t="s">
        <v>10</v>
      </c>
      <c r="AG6" s="3"/>
    </row>
    <row r="7" spans="1:58" s="6" customFormat="1" ht="54" customHeight="1">
      <c r="A7" s="419"/>
      <c r="B7" s="419"/>
      <c r="C7" s="278" t="s">
        <v>11</v>
      </c>
      <c r="D7" s="279" t="s">
        <v>6</v>
      </c>
      <c r="E7" s="279" t="s">
        <v>7</v>
      </c>
      <c r="F7" s="422"/>
      <c r="G7" s="418"/>
      <c r="H7" s="418"/>
      <c r="I7" s="418"/>
      <c r="J7" s="418"/>
      <c r="K7" s="420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8"/>
      <c r="AE7" s="418"/>
      <c r="AF7" s="417"/>
      <c r="AG7" s="3"/>
    </row>
    <row r="8" spans="1:58" s="6" customFormat="1" ht="21.6" customHeight="1">
      <c r="A8" s="7"/>
      <c r="B8" s="8" t="s">
        <v>494</v>
      </c>
      <c r="C8" s="9"/>
      <c r="D8" s="10"/>
      <c r="E8" s="10"/>
      <c r="F8" s="10"/>
      <c r="G8" s="9"/>
      <c r="H8" s="9"/>
      <c r="I8" s="9"/>
      <c r="J8" s="9"/>
      <c r="K8" s="11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9"/>
      <c r="AE8" s="9"/>
      <c r="AF8" s="14"/>
      <c r="AG8" s="15"/>
    </row>
    <row r="9" spans="1:58">
      <c r="A9" s="16"/>
      <c r="B9" s="17" t="s">
        <v>12</v>
      </c>
      <c r="C9" s="18"/>
      <c r="D9" s="19"/>
      <c r="E9" s="19"/>
      <c r="F9" s="19"/>
      <c r="G9" s="18"/>
      <c r="H9" s="18"/>
      <c r="I9" s="18"/>
      <c r="J9" s="18"/>
      <c r="K9" s="20"/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8"/>
      <c r="AE9" s="18"/>
      <c r="AF9" s="21"/>
    </row>
    <row r="10" spans="1:58">
      <c r="A10" s="16">
        <v>1</v>
      </c>
      <c r="B10" s="21" t="s">
        <v>13</v>
      </c>
      <c r="C10" s="22">
        <v>47238000</v>
      </c>
      <c r="D10" s="19">
        <v>47238000</v>
      </c>
      <c r="E10" s="19"/>
      <c r="F10" s="23"/>
      <c r="G10" s="24"/>
      <c r="H10" s="24">
        <f>SUM(AI10:AJ10)</f>
        <v>764824.29906542064</v>
      </c>
      <c r="I10" s="24"/>
      <c r="J10" s="24">
        <f>AK10</f>
        <v>2148672.8971962617</v>
      </c>
      <c r="K10" s="20"/>
      <c r="L10" s="18">
        <f>AL10</f>
        <v>444028.97196261684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8">
        <f>SUM(F10:AC10)</f>
        <v>3357526.1682242993</v>
      </c>
      <c r="AE10" s="18">
        <f>F10+H10+J10+L10+N10+P10+R10+T10+V10+X10+Z10+AB10</f>
        <v>3357526.1682242993</v>
      </c>
      <c r="AF10" s="25">
        <f>AE10/AD10</f>
        <v>1</v>
      </c>
      <c r="AG10" s="26"/>
      <c r="AI10" s="27">
        <f>427554-(427554*7/107)</f>
        <v>399583.17757009348</v>
      </c>
      <c r="AJ10" s="27">
        <f>390808-(390808*7/107)</f>
        <v>365241.1214953271</v>
      </c>
      <c r="AK10" s="28">
        <f>2299080-(2299080*7/107)</f>
        <v>2148672.8971962617</v>
      </c>
      <c r="AL10" s="29">
        <f>475111-(475111*7/107)</f>
        <v>444028.97196261684</v>
      </c>
      <c r="AM10" s="29"/>
      <c r="AN10" s="29"/>
      <c r="AO10" s="27"/>
      <c r="AP10" s="27"/>
      <c r="AQ10" s="28"/>
      <c r="AR10" s="28"/>
      <c r="AS10" s="28"/>
      <c r="AT10" s="30"/>
      <c r="AU10" s="30"/>
      <c r="AV10" s="31"/>
      <c r="AW10" s="31"/>
      <c r="AX10" s="31"/>
      <c r="AY10" s="31"/>
      <c r="AZ10" s="27"/>
      <c r="BA10" s="27"/>
      <c r="BB10" s="32"/>
      <c r="BC10" s="33"/>
      <c r="BD10" s="33"/>
      <c r="BE10" s="33"/>
      <c r="BF10" s="29"/>
    </row>
    <row r="11" spans="1:58">
      <c r="A11" s="16">
        <v>2</v>
      </c>
      <c r="B11" s="34" t="s">
        <v>14</v>
      </c>
      <c r="C11" s="35">
        <v>2200000</v>
      </c>
      <c r="D11" s="19">
        <v>2200000</v>
      </c>
      <c r="E11" s="19"/>
      <c r="F11" s="23"/>
      <c r="G11" s="24"/>
      <c r="H11" s="24">
        <f>SUM(AI11)</f>
        <v>2050600</v>
      </c>
      <c r="I11" s="24"/>
      <c r="J11" s="18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8">
        <f>SUM(F11:AC11)</f>
        <v>2050600</v>
      </c>
      <c r="AE11" s="18">
        <f t="shared" ref="AE11:AE74" si="0">F11+H11+J11+L11+N11+P11+R11+T11+V11+X11+Z11+AB11</f>
        <v>2050600</v>
      </c>
      <c r="AF11" s="25">
        <f t="shared" ref="AF11:AF75" si="1">AE11/AD11</f>
        <v>1</v>
      </c>
      <c r="AG11" s="26"/>
      <c r="AI11" s="32">
        <f>2194142-(2194142*7/107)</f>
        <v>2050600</v>
      </c>
    </row>
    <row r="12" spans="1:58">
      <c r="A12" s="16">
        <v>3</v>
      </c>
      <c r="B12" s="34" t="s">
        <v>15</v>
      </c>
      <c r="C12" s="22">
        <v>2000000</v>
      </c>
      <c r="D12" s="19">
        <v>2000000</v>
      </c>
      <c r="E12" s="19"/>
      <c r="F12" s="23"/>
      <c r="G12" s="24"/>
      <c r="H12" s="24"/>
      <c r="I12" s="24"/>
      <c r="J12" s="18">
        <f>AI12</f>
        <v>866355.14018691587</v>
      </c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8">
        <f>SUM(F12:AC12)</f>
        <v>866355.14018691587</v>
      </c>
      <c r="AE12" s="18">
        <f t="shared" si="0"/>
        <v>866355.14018691587</v>
      </c>
      <c r="AF12" s="25">
        <f t="shared" si="1"/>
        <v>1</v>
      </c>
      <c r="AG12" s="26"/>
      <c r="AI12" s="33">
        <f>927000-(927000*7/107)</f>
        <v>866355.14018691587</v>
      </c>
      <c r="AJ12" s="27"/>
      <c r="AK12" s="27"/>
    </row>
    <row r="13" spans="1:58">
      <c r="A13" s="16">
        <v>4</v>
      </c>
      <c r="B13" s="34" t="s">
        <v>16</v>
      </c>
      <c r="C13" s="22">
        <v>5000000</v>
      </c>
      <c r="D13" s="19">
        <v>5000000</v>
      </c>
      <c r="E13" s="19"/>
      <c r="F13" s="23"/>
      <c r="G13" s="24"/>
      <c r="H13" s="24"/>
      <c r="I13" s="24"/>
      <c r="J13" s="18"/>
      <c r="K13" s="20"/>
      <c r="L13" s="18">
        <f>SUM(AI13:AJ13)</f>
        <v>1841064.4859813084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8">
        <f>SUM(F13:AC13)</f>
        <v>1841064.4859813084</v>
      </c>
      <c r="AE13" s="18">
        <f t="shared" si="0"/>
        <v>1841064.4859813084</v>
      </c>
      <c r="AF13" s="25">
        <f t="shared" si="1"/>
        <v>1</v>
      </c>
      <c r="AG13" s="26"/>
      <c r="AI13" s="33">
        <f>987939-(987939*7/107)</f>
        <v>923307.47663551406</v>
      </c>
      <c r="AJ13" s="29">
        <f>982000-(982000*7/107)</f>
        <v>917757.00934579445</v>
      </c>
      <c r="AK13" s="27"/>
      <c r="AS13" s="27"/>
      <c r="AT13" s="27"/>
      <c r="AU13" s="27"/>
    </row>
    <row r="14" spans="1:58">
      <c r="A14" s="16">
        <v>5</v>
      </c>
      <c r="B14" s="34" t="s">
        <v>17</v>
      </c>
      <c r="C14" s="22">
        <v>0</v>
      </c>
      <c r="D14" s="19">
        <v>0</v>
      </c>
      <c r="E14" s="19"/>
      <c r="F14" s="23"/>
      <c r="G14" s="24"/>
      <c r="H14" s="24"/>
      <c r="I14" s="24"/>
      <c r="J14" s="18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8">
        <f t="shared" ref="AD14:AD75" si="2">SUM(F14:AC14)</f>
        <v>0</v>
      </c>
      <c r="AE14" s="18">
        <f t="shared" si="0"/>
        <v>0</v>
      </c>
      <c r="AF14" s="25" t="e">
        <f t="shared" si="1"/>
        <v>#DIV/0!</v>
      </c>
      <c r="AG14" s="26"/>
    </row>
    <row r="15" spans="1:58">
      <c r="A15" s="16">
        <v>6</v>
      </c>
      <c r="B15" s="21" t="s">
        <v>18</v>
      </c>
      <c r="C15" s="22">
        <v>2000000</v>
      </c>
      <c r="D15" s="36">
        <v>2000000</v>
      </c>
      <c r="E15" s="36"/>
      <c r="F15" s="37"/>
      <c r="G15" s="38"/>
      <c r="H15" s="38">
        <f>SUM(AI15)</f>
        <v>946867</v>
      </c>
      <c r="I15" s="38"/>
      <c r="J15" s="39"/>
      <c r="K15" s="40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18">
        <f t="shared" si="2"/>
        <v>946867</v>
      </c>
      <c r="AE15" s="18">
        <f t="shared" si="0"/>
        <v>946867</v>
      </c>
      <c r="AF15" s="25">
        <f t="shared" si="1"/>
        <v>1</v>
      </c>
      <c r="AG15" s="26"/>
      <c r="AI15" s="32">
        <f>1013147.69-(1013147.69*7/107)</f>
        <v>946867</v>
      </c>
    </row>
    <row r="16" spans="1:58">
      <c r="A16" s="41"/>
      <c r="B16" s="42" t="s">
        <v>19</v>
      </c>
      <c r="C16" s="43"/>
      <c r="D16" s="44"/>
      <c r="E16" s="44"/>
      <c r="F16" s="45"/>
      <c r="G16" s="46"/>
      <c r="H16" s="46"/>
      <c r="I16" s="46"/>
      <c r="J16" s="47"/>
      <c r="K16" s="48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7"/>
      <c r="AE16" s="47"/>
      <c r="AF16" s="49" t="e">
        <f t="shared" si="1"/>
        <v>#DIV/0!</v>
      </c>
      <c r="AG16" s="50"/>
    </row>
    <row r="17" spans="1:35">
      <c r="A17" s="16">
        <v>1</v>
      </c>
      <c r="B17" s="21" t="s">
        <v>498</v>
      </c>
      <c r="C17" s="51">
        <v>25000</v>
      </c>
      <c r="D17" s="18">
        <v>25000</v>
      </c>
      <c r="E17" s="19"/>
      <c r="F17" s="23">
        <f>AI17</f>
        <v>23350</v>
      </c>
      <c r="G17" s="24"/>
      <c r="H17" s="24"/>
      <c r="I17" s="24"/>
      <c r="J17" s="18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8">
        <f t="shared" si="2"/>
        <v>23350</v>
      </c>
      <c r="AE17" s="18">
        <f t="shared" si="0"/>
        <v>23350</v>
      </c>
      <c r="AF17" s="25">
        <f t="shared" si="1"/>
        <v>1</v>
      </c>
      <c r="AG17" s="26"/>
      <c r="AI17" s="2">
        <f>24984.5-(24984.5*7/107)</f>
        <v>23350</v>
      </c>
    </row>
    <row r="18" spans="1:35">
      <c r="A18" s="16">
        <v>2</v>
      </c>
      <c r="B18" s="21" t="s">
        <v>499</v>
      </c>
      <c r="C18" s="51">
        <v>9800</v>
      </c>
      <c r="D18" s="19">
        <v>9800</v>
      </c>
      <c r="E18" s="19"/>
      <c r="F18" s="23">
        <f>AI18</f>
        <v>9800</v>
      </c>
      <c r="G18" s="24"/>
      <c r="H18" s="24"/>
      <c r="I18" s="24"/>
      <c r="J18" s="18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8">
        <f t="shared" si="2"/>
        <v>9800</v>
      </c>
      <c r="AE18" s="18">
        <f t="shared" si="0"/>
        <v>9800</v>
      </c>
      <c r="AF18" s="25">
        <f t="shared" si="1"/>
        <v>1</v>
      </c>
      <c r="AG18" s="26"/>
      <c r="AI18" s="2">
        <f>10486-(10486*7/107)</f>
        <v>9800</v>
      </c>
    </row>
    <row r="19" spans="1:35">
      <c r="A19" s="16">
        <v>3</v>
      </c>
      <c r="B19" s="21" t="s">
        <v>500</v>
      </c>
      <c r="C19" s="51">
        <v>2000</v>
      </c>
      <c r="D19" s="19">
        <v>2000</v>
      </c>
      <c r="E19" s="19"/>
      <c r="F19" s="23">
        <f>AI19</f>
        <v>1480</v>
      </c>
      <c r="G19" s="24"/>
      <c r="H19" s="24"/>
      <c r="I19" s="24"/>
      <c r="J19" s="18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8">
        <f t="shared" si="2"/>
        <v>1480</v>
      </c>
      <c r="AE19" s="18">
        <f t="shared" si="0"/>
        <v>1480</v>
      </c>
      <c r="AF19" s="25">
        <f t="shared" si="1"/>
        <v>1</v>
      </c>
      <c r="AG19" s="26"/>
      <c r="AI19" s="2">
        <f>1583.6-(1583.6*7/107)</f>
        <v>1480</v>
      </c>
    </row>
    <row r="20" spans="1:35">
      <c r="A20" s="16">
        <v>4</v>
      </c>
      <c r="B20" s="21"/>
      <c r="C20" s="51"/>
      <c r="D20" s="19"/>
      <c r="E20" s="19"/>
      <c r="F20" s="23"/>
      <c r="G20" s="24"/>
      <c r="H20" s="24"/>
      <c r="I20" s="24"/>
      <c r="J20" s="18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8">
        <f t="shared" si="2"/>
        <v>0</v>
      </c>
      <c r="AE20" s="18">
        <f t="shared" si="0"/>
        <v>0</v>
      </c>
      <c r="AF20" s="25" t="e">
        <f t="shared" si="1"/>
        <v>#DIV/0!</v>
      </c>
      <c r="AG20" s="26"/>
    </row>
    <row r="21" spans="1:35">
      <c r="A21" s="16">
        <v>5</v>
      </c>
      <c r="B21" s="21"/>
      <c r="C21" s="51"/>
      <c r="D21" s="19"/>
      <c r="E21" s="19"/>
      <c r="F21" s="23"/>
      <c r="G21" s="24"/>
      <c r="H21" s="24"/>
      <c r="I21" s="24"/>
      <c r="J21" s="18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8">
        <f t="shared" si="2"/>
        <v>0</v>
      </c>
      <c r="AE21" s="18">
        <f t="shared" si="0"/>
        <v>0</v>
      </c>
      <c r="AF21" s="25" t="e">
        <f t="shared" si="1"/>
        <v>#DIV/0!</v>
      </c>
      <c r="AG21" s="26"/>
      <c r="AI21" s="27"/>
    </row>
    <row r="22" spans="1:35">
      <c r="A22" s="16">
        <v>6</v>
      </c>
      <c r="B22" s="21"/>
      <c r="C22" s="51"/>
      <c r="D22" s="19"/>
      <c r="E22" s="19"/>
      <c r="F22" s="23"/>
      <c r="G22" s="24"/>
      <c r="H22" s="24"/>
      <c r="I22" s="24"/>
      <c r="J22" s="18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8">
        <f t="shared" si="2"/>
        <v>0</v>
      </c>
      <c r="AE22" s="18">
        <f t="shared" si="0"/>
        <v>0</v>
      </c>
      <c r="AF22" s="25" t="e">
        <f t="shared" si="1"/>
        <v>#DIV/0!</v>
      </c>
      <c r="AG22" s="26"/>
    </row>
    <row r="23" spans="1:35">
      <c r="A23" s="16">
        <v>7</v>
      </c>
      <c r="B23" s="21"/>
      <c r="C23" s="51"/>
      <c r="D23" s="19"/>
      <c r="E23" s="19"/>
      <c r="F23" s="23"/>
      <c r="G23" s="24"/>
      <c r="H23" s="24"/>
      <c r="I23" s="24"/>
      <c r="J23" s="18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8">
        <f t="shared" si="2"/>
        <v>0</v>
      </c>
      <c r="AE23" s="18">
        <f t="shared" si="0"/>
        <v>0</v>
      </c>
      <c r="AF23" s="25" t="e">
        <f t="shared" si="1"/>
        <v>#DIV/0!</v>
      </c>
      <c r="AG23" s="26"/>
      <c r="AI23" s="27"/>
    </row>
    <row r="24" spans="1:35">
      <c r="A24" s="16">
        <v>8</v>
      </c>
      <c r="B24" s="21"/>
      <c r="C24" s="51"/>
      <c r="D24" s="19"/>
      <c r="E24" s="19"/>
      <c r="F24" s="23"/>
      <c r="G24" s="24"/>
      <c r="H24" s="24"/>
      <c r="I24" s="24"/>
      <c r="J24" s="18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8">
        <f t="shared" si="2"/>
        <v>0</v>
      </c>
      <c r="AE24" s="18">
        <f t="shared" si="0"/>
        <v>0</v>
      </c>
      <c r="AF24" s="25" t="e">
        <f t="shared" si="1"/>
        <v>#DIV/0!</v>
      </c>
      <c r="AG24" s="26"/>
      <c r="AI24" s="28"/>
    </row>
    <row r="25" spans="1:35">
      <c r="A25" s="16">
        <v>9</v>
      </c>
      <c r="B25" s="21"/>
      <c r="C25" s="51"/>
      <c r="D25" s="19"/>
      <c r="E25" s="19"/>
      <c r="F25" s="23"/>
      <c r="G25" s="24"/>
      <c r="H25" s="24"/>
      <c r="I25" s="24"/>
      <c r="J25" s="18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8">
        <f t="shared" si="2"/>
        <v>0</v>
      </c>
      <c r="AE25" s="18">
        <f t="shared" si="0"/>
        <v>0</v>
      </c>
      <c r="AF25" s="25" t="e">
        <f t="shared" si="1"/>
        <v>#DIV/0!</v>
      </c>
      <c r="AG25" s="26"/>
      <c r="AI25" s="27"/>
    </row>
    <row r="26" spans="1:35">
      <c r="A26" s="16">
        <v>10</v>
      </c>
      <c r="B26" s="21"/>
      <c r="C26" s="51"/>
      <c r="D26" s="19"/>
      <c r="E26" s="19"/>
      <c r="F26" s="23"/>
      <c r="G26" s="24"/>
      <c r="H26" s="24"/>
      <c r="I26" s="24"/>
      <c r="J26" s="18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8">
        <f t="shared" si="2"/>
        <v>0</v>
      </c>
      <c r="AE26" s="18">
        <f t="shared" si="0"/>
        <v>0</v>
      </c>
      <c r="AF26" s="25" t="e">
        <f t="shared" si="1"/>
        <v>#DIV/0!</v>
      </c>
      <c r="AG26" s="26"/>
      <c r="AI26" s="27"/>
    </row>
    <row r="27" spans="1:35">
      <c r="A27" s="16">
        <v>11</v>
      </c>
      <c r="B27" s="21"/>
      <c r="C27" s="51"/>
      <c r="D27" s="19"/>
      <c r="E27" s="19"/>
      <c r="F27" s="23"/>
      <c r="G27" s="24"/>
      <c r="H27" s="24"/>
      <c r="I27" s="24"/>
      <c r="J27" s="18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8">
        <f t="shared" si="2"/>
        <v>0</v>
      </c>
      <c r="AE27" s="18">
        <f t="shared" si="0"/>
        <v>0</v>
      </c>
      <c r="AF27" s="25" t="e">
        <f t="shared" si="1"/>
        <v>#DIV/0!</v>
      </c>
      <c r="AG27" s="26"/>
      <c r="AI27" s="27"/>
    </row>
    <row r="28" spans="1:35">
      <c r="A28" s="16"/>
      <c r="B28" s="21"/>
      <c r="C28" s="51"/>
      <c r="D28" s="19"/>
      <c r="E28" s="19"/>
      <c r="F28" s="23"/>
      <c r="G28" s="24"/>
      <c r="H28" s="24"/>
      <c r="I28" s="24"/>
      <c r="J28" s="18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8">
        <f t="shared" si="2"/>
        <v>0</v>
      </c>
      <c r="AE28" s="18">
        <f t="shared" si="0"/>
        <v>0</v>
      </c>
      <c r="AF28" s="25" t="e">
        <f t="shared" si="1"/>
        <v>#DIV/0!</v>
      </c>
      <c r="AG28" s="26"/>
    </row>
    <row r="29" spans="1:35">
      <c r="A29" s="16"/>
      <c r="B29" s="21"/>
      <c r="C29" s="51"/>
      <c r="D29" s="19"/>
      <c r="E29" s="19"/>
      <c r="F29" s="23"/>
      <c r="G29" s="24"/>
      <c r="H29" s="24"/>
      <c r="I29" s="24"/>
      <c r="J29" s="18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8">
        <f t="shared" si="2"/>
        <v>0</v>
      </c>
      <c r="AE29" s="18">
        <f t="shared" si="0"/>
        <v>0</v>
      </c>
      <c r="AF29" s="25" t="e">
        <f t="shared" si="1"/>
        <v>#DIV/0!</v>
      </c>
      <c r="AG29" s="26"/>
    </row>
    <row r="30" spans="1:35">
      <c r="A30" s="16"/>
      <c r="B30" s="21"/>
      <c r="C30" s="51"/>
      <c r="D30" s="19"/>
      <c r="E30" s="19"/>
      <c r="F30" s="23"/>
      <c r="G30" s="24"/>
      <c r="H30" s="24"/>
      <c r="I30" s="24"/>
      <c r="J30" s="18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8">
        <f t="shared" si="2"/>
        <v>0</v>
      </c>
      <c r="AE30" s="18">
        <f t="shared" si="0"/>
        <v>0</v>
      </c>
      <c r="AF30" s="25" t="e">
        <f t="shared" si="1"/>
        <v>#DIV/0!</v>
      </c>
      <c r="AG30" s="26"/>
    </row>
    <row r="31" spans="1:35" ht="18.75" customHeight="1">
      <c r="A31" s="41"/>
      <c r="B31" s="42" t="s">
        <v>20</v>
      </c>
      <c r="C31" s="43"/>
      <c r="D31" s="44"/>
      <c r="E31" s="44"/>
      <c r="F31" s="45"/>
      <c r="G31" s="46"/>
      <c r="H31" s="46"/>
      <c r="I31" s="46"/>
      <c r="J31" s="47"/>
      <c r="K31" s="48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7"/>
      <c r="AE31" s="47"/>
      <c r="AF31" s="49" t="e">
        <f t="shared" si="1"/>
        <v>#DIV/0!</v>
      </c>
      <c r="AG31" s="50"/>
    </row>
    <row r="32" spans="1:35" ht="18.75" customHeight="1">
      <c r="A32" s="16">
        <v>1</v>
      </c>
      <c r="B32" s="52" t="s">
        <v>21</v>
      </c>
      <c r="C32" s="22">
        <v>0</v>
      </c>
      <c r="D32" s="19">
        <v>0</v>
      </c>
      <c r="E32" s="19"/>
      <c r="F32" s="23"/>
      <c r="G32" s="24"/>
      <c r="H32" s="24"/>
      <c r="I32" s="24"/>
      <c r="J32" s="18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8">
        <f t="shared" si="2"/>
        <v>0</v>
      </c>
      <c r="AE32" s="18">
        <f t="shared" si="0"/>
        <v>0</v>
      </c>
      <c r="AF32" s="25" t="e">
        <f t="shared" si="1"/>
        <v>#DIV/0!</v>
      </c>
      <c r="AG32" s="26"/>
    </row>
    <row r="33" spans="1:37" ht="18.75" customHeight="1">
      <c r="A33" s="16">
        <v>2</v>
      </c>
      <c r="B33" s="52" t="s">
        <v>22</v>
      </c>
      <c r="C33" s="22">
        <v>326000</v>
      </c>
      <c r="D33" s="19">
        <v>326000</v>
      </c>
      <c r="E33" s="19"/>
      <c r="F33" s="23">
        <f>AI33</f>
        <v>319213</v>
      </c>
      <c r="G33" s="24"/>
      <c r="H33" s="24"/>
      <c r="I33" s="24"/>
      <c r="J33" s="18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8">
        <f t="shared" si="2"/>
        <v>319213</v>
      </c>
      <c r="AE33" s="18">
        <f t="shared" si="0"/>
        <v>319213</v>
      </c>
      <c r="AF33" s="25">
        <f t="shared" si="1"/>
        <v>1</v>
      </c>
      <c r="AG33" s="26"/>
      <c r="AI33" s="2">
        <f>341557.91-(341557.91*7/107)</f>
        <v>319213</v>
      </c>
    </row>
    <row r="34" spans="1:37" ht="18.75" customHeight="1">
      <c r="A34" s="16">
        <v>3</v>
      </c>
      <c r="B34" s="52" t="s">
        <v>23</v>
      </c>
      <c r="C34" s="22">
        <v>8199000</v>
      </c>
      <c r="D34" s="19">
        <v>8199000</v>
      </c>
      <c r="E34" s="19"/>
      <c r="F34" s="23">
        <f>AI34</f>
        <v>8126039.252336449</v>
      </c>
      <c r="G34" s="24"/>
      <c r="H34" s="24"/>
      <c r="I34" s="24"/>
      <c r="J34" s="18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8">
        <f>SUM(F34:AC34)</f>
        <v>8126039.252336449</v>
      </c>
      <c r="AE34" s="18">
        <f t="shared" si="0"/>
        <v>8126039.252336449</v>
      </c>
      <c r="AF34" s="25">
        <f t="shared" si="1"/>
        <v>1</v>
      </c>
      <c r="AG34" s="53"/>
      <c r="AH34" s="54"/>
      <c r="AI34" s="2">
        <f>8694862-(8694862*7/107)</f>
        <v>8126039.252336449</v>
      </c>
      <c r="AJ34" s="32"/>
    </row>
    <row r="35" spans="1:37">
      <c r="A35" s="16">
        <v>4</v>
      </c>
      <c r="B35" s="52" t="s">
        <v>24</v>
      </c>
      <c r="C35" s="22">
        <v>2890000</v>
      </c>
      <c r="D35" s="19">
        <v>2890000</v>
      </c>
      <c r="E35" s="19"/>
      <c r="F35" s="23">
        <f>AI35</f>
        <v>1858863</v>
      </c>
      <c r="G35" s="24"/>
      <c r="H35" s="24"/>
      <c r="I35" s="24"/>
      <c r="J35" s="18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8">
        <f>SUM(F35:AC35)</f>
        <v>1858863</v>
      </c>
      <c r="AE35" s="18">
        <f t="shared" si="0"/>
        <v>1858863</v>
      </c>
      <c r="AF35" s="25">
        <f t="shared" si="1"/>
        <v>1</v>
      </c>
      <c r="AG35" s="53"/>
      <c r="AH35" s="54"/>
      <c r="AI35" s="2">
        <f>1988983.41-(1988983.41*7/107)</f>
        <v>1858863</v>
      </c>
      <c r="AJ35" s="55"/>
      <c r="AK35" s="27"/>
    </row>
    <row r="36" spans="1:37">
      <c r="A36" s="16">
        <v>5</v>
      </c>
      <c r="B36" s="52" t="s">
        <v>25</v>
      </c>
      <c r="C36" s="22">
        <v>100000</v>
      </c>
      <c r="D36" s="19">
        <v>100000</v>
      </c>
      <c r="E36" s="19"/>
      <c r="F36" s="23"/>
      <c r="G36" s="24"/>
      <c r="H36" s="24"/>
      <c r="I36" s="24"/>
      <c r="J36" s="18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8">
        <f t="shared" si="2"/>
        <v>0</v>
      </c>
      <c r="AE36" s="18">
        <f t="shared" si="0"/>
        <v>0</v>
      </c>
      <c r="AF36" s="25" t="e">
        <f t="shared" si="1"/>
        <v>#DIV/0!</v>
      </c>
      <c r="AG36" s="26"/>
    </row>
    <row r="37" spans="1:37">
      <c r="A37" s="16">
        <v>6</v>
      </c>
      <c r="B37" s="52" t="s">
        <v>26</v>
      </c>
      <c r="C37" s="22">
        <v>5151600</v>
      </c>
      <c r="D37" s="19">
        <v>5151600</v>
      </c>
      <c r="E37" s="19"/>
      <c r="F37" s="23"/>
      <c r="G37" s="24"/>
      <c r="H37" s="24"/>
      <c r="I37" s="24"/>
      <c r="J37" s="18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8"/>
      <c r="AE37" s="18"/>
      <c r="AF37" s="25" t="e">
        <f t="shared" si="1"/>
        <v>#DIV/0!</v>
      </c>
      <c r="AG37" s="26"/>
    </row>
    <row r="38" spans="1:37">
      <c r="A38" s="16">
        <v>7</v>
      </c>
      <c r="B38" s="52" t="s">
        <v>27</v>
      </c>
      <c r="C38" s="22">
        <v>107200</v>
      </c>
      <c r="D38" s="19">
        <v>107200</v>
      </c>
      <c r="E38" s="19"/>
      <c r="F38" s="23"/>
      <c r="G38" s="24"/>
      <c r="H38" s="24"/>
      <c r="I38" s="24"/>
      <c r="J38" s="18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8">
        <f t="shared" si="2"/>
        <v>0</v>
      </c>
      <c r="AE38" s="18">
        <f t="shared" si="0"/>
        <v>0</v>
      </c>
      <c r="AF38" s="25" t="e">
        <f t="shared" si="1"/>
        <v>#DIV/0!</v>
      </c>
      <c r="AG38" s="26"/>
    </row>
    <row r="39" spans="1:37">
      <c r="A39" s="16">
        <v>8</v>
      </c>
      <c r="B39" s="52" t="s">
        <v>28</v>
      </c>
      <c r="C39" s="51">
        <v>45000</v>
      </c>
      <c r="D39" s="18">
        <v>45000</v>
      </c>
      <c r="E39" s="19"/>
      <c r="F39" s="23">
        <f>AI39</f>
        <v>45000</v>
      </c>
      <c r="G39" s="24"/>
      <c r="H39" s="24"/>
      <c r="I39" s="24"/>
      <c r="J39" s="18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8">
        <f t="shared" si="2"/>
        <v>45000</v>
      </c>
      <c r="AE39" s="18">
        <f t="shared" si="0"/>
        <v>45000</v>
      </c>
      <c r="AF39" s="25">
        <f t="shared" si="1"/>
        <v>1</v>
      </c>
      <c r="AG39" s="26"/>
      <c r="AI39" s="199">
        <f>48150-(48150*7/107)</f>
        <v>45000</v>
      </c>
    </row>
    <row r="40" spans="1:37">
      <c r="A40" s="16"/>
      <c r="B40" s="52" t="s">
        <v>497</v>
      </c>
      <c r="C40" s="51"/>
      <c r="D40" s="19"/>
      <c r="E40" s="19"/>
      <c r="F40" s="23"/>
      <c r="G40" s="24"/>
      <c r="H40" s="24"/>
      <c r="I40" s="24"/>
      <c r="J40" s="18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8">
        <f t="shared" ref="AD40" si="3">SUM(F40:AC40)</f>
        <v>0</v>
      </c>
      <c r="AE40" s="18">
        <f t="shared" si="0"/>
        <v>0</v>
      </c>
      <c r="AF40" s="25" t="e">
        <f t="shared" si="1"/>
        <v>#DIV/0!</v>
      </c>
      <c r="AG40" s="26"/>
      <c r="AI40" s="33"/>
    </row>
    <row r="41" spans="1:37">
      <c r="A41" s="16">
        <v>9</v>
      </c>
      <c r="B41" s="52" t="s">
        <v>28</v>
      </c>
      <c r="C41" s="51">
        <v>132000</v>
      </c>
      <c r="D41" s="18"/>
      <c r="E41" s="18">
        <v>132000</v>
      </c>
      <c r="F41" s="23"/>
      <c r="G41" s="24"/>
      <c r="H41" s="24"/>
      <c r="I41" s="24">
        <f>SUM(AI41)</f>
        <v>111000</v>
      </c>
      <c r="J41" s="18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8">
        <f t="shared" si="2"/>
        <v>111000</v>
      </c>
      <c r="AE41" s="18">
        <f t="shared" si="0"/>
        <v>0</v>
      </c>
      <c r="AF41" s="25">
        <f t="shared" si="1"/>
        <v>0</v>
      </c>
      <c r="AG41" s="26"/>
      <c r="AI41" s="2">
        <f>118770-(118770*7/107)</f>
        <v>111000</v>
      </c>
    </row>
    <row r="42" spans="1:37">
      <c r="A42" s="16"/>
      <c r="B42" s="52" t="s">
        <v>547</v>
      </c>
      <c r="C42" s="51"/>
      <c r="D42" s="19"/>
      <c r="E42" s="19"/>
      <c r="F42" s="23"/>
      <c r="G42" s="24"/>
      <c r="H42" s="24"/>
      <c r="I42" s="24"/>
      <c r="J42" s="18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8">
        <f t="shared" si="2"/>
        <v>0</v>
      </c>
      <c r="AE42" s="18">
        <f t="shared" si="0"/>
        <v>0</v>
      </c>
      <c r="AF42" s="25" t="e">
        <f t="shared" si="1"/>
        <v>#DIV/0!</v>
      </c>
      <c r="AG42" s="26"/>
    </row>
    <row r="43" spans="1:37">
      <c r="A43" s="16">
        <v>10</v>
      </c>
      <c r="B43" s="52" t="s">
        <v>548</v>
      </c>
      <c r="C43" s="51">
        <v>3255</v>
      </c>
      <c r="D43" s="19">
        <v>3255</v>
      </c>
      <c r="E43" s="19"/>
      <c r="F43" s="23"/>
      <c r="G43" s="24"/>
      <c r="H43" s="24">
        <f>SUM(AI43)</f>
        <v>3255</v>
      </c>
      <c r="I43" s="24"/>
      <c r="J43" s="18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8">
        <f t="shared" si="2"/>
        <v>3255</v>
      </c>
      <c r="AE43" s="18">
        <f t="shared" si="0"/>
        <v>3255</v>
      </c>
      <c r="AF43" s="25">
        <f t="shared" si="1"/>
        <v>1</v>
      </c>
      <c r="AG43" s="26"/>
      <c r="AI43" s="2">
        <f>3482.85-(3482.85*7/107)</f>
        <v>3255</v>
      </c>
    </row>
    <row r="44" spans="1:37">
      <c r="A44" s="16">
        <v>11</v>
      </c>
      <c r="B44" s="52" t="s">
        <v>571</v>
      </c>
      <c r="C44" s="51">
        <v>10149.52</v>
      </c>
      <c r="D44" s="19">
        <v>10149.52</v>
      </c>
      <c r="E44" s="19"/>
      <c r="F44" s="23"/>
      <c r="G44" s="24"/>
      <c r="H44" s="24"/>
      <c r="I44" s="24"/>
      <c r="J44" s="18">
        <f>AI44</f>
        <v>10149.523364485982</v>
      </c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8">
        <f t="shared" si="2"/>
        <v>10149.523364485982</v>
      </c>
      <c r="AE44" s="18">
        <f t="shared" si="0"/>
        <v>10149.523364485982</v>
      </c>
      <c r="AF44" s="25">
        <f t="shared" si="1"/>
        <v>1</v>
      </c>
      <c r="AG44" s="26"/>
      <c r="AI44" s="27">
        <f>10859.99-(10859.99*7/107)</f>
        <v>10149.523364485982</v>
      </c>
    </row>
    <row r="45" spans="1:37">
      <c r="A45" s="16">
        <v>12</v>
      </c>
      <c r="B45" s="52" t="s">
        <v>616</v>
      </c>
      <c r="C45" s="51">
        <v>1896</v>
      </c>
      <c r="D45" s="19">
        <v>1896</v>
      </c>
      <c r="E45" s="19"/>
      <c r="F45" s="23"/>
      <c r="G45" s="24"/>
      <c r="H45" s="24"/>
      <c r="I45" s="24"/>
      <c r="J45" s="18"/>
      <c r="K45" s="20"/>
      <c r="L45" s="18">
        <f>AI45</f>
        <v>1896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8">
        <f t="shared" si="2"/>
        <v>1896</v>
      </c>
      <c r="AE45" s="18">
        <f t="shared" si="0"/>
        <v>1896</v>
      </c>
      <c r="AF45" s="25">
        <f t="shared" si="1"/>
        <v>1</v>
      </c>
      <c r="AG45" s="26"/>
      <c r="AI45" s="2">
        <f>2028.72-(2028.72*7/107)</f>
        <v>1896</v>
      </c>
    </row>
    <row r="46" spans="1:37">
      <c r="A46" s="16">
        <v>13</v>
      </c>
      <c r="B46" s="52" t="s">
        <v>571</v>
      </c>
      <c r="C46" s="51">
        <v>8637</v>
      </c>
      <c r="D46" s="19">
        <v>8637</v>
      </c>
      <c r="E46" s="19"/>
      <c r="F46" s="23"/>
      <c r="G46" s="24"/>
      <c r="H46" s="24"/>
      <c r="I46" s="24"/>
      <c r="J46" s="18"/>
      <c r="K46" s="20"/>
      <c r="L46" s="18">
        <f>AI46</f>
        <v>8637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8">
        <f t="shared" si="2"/>
        <v>8637</v>
      </c>
      <c r="AE46" s="18">
        <f t="shared" si="0"/>
        <v>8637</v>
      </c>
      <c r="AF46" s="25">
        <f t="shared" si="1"/>
        <v>1</v>
      </c>
      <c r="AG46" s="26"/>
      <c r="AI46" s="2">
        <f>9241.59-(9241.59*7/107)</f>
        <v>8637</v>
      </c>
    </row>
    <row r="47" spans="1:37">
      <c r="A47" s="16">
        <v>14</v>
      </c>
      <c r="B47" s="52" t="s">
        <v>615</v>
      </c>
      <c r="C47" s="51">
        <v>40500</v>
      </c>
      <c r="D47" s="19">
        <v>40500</v>
      </c>
      <c r="E47" s="19"/>
      <c r="F47" s="23"/>
      <c r="G47" s="24"/>
      <c r="H47" s="24"/>
      <c r="I47" s="24"/>
      <c r="J47" s="18"/>
      <c r="K47" s="20"/>
      <c r="L47" s="18">
        <f>AI47</f>
        <v>40500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8">
        <f t="shared" si="2"/>
        <v>40500</v>
      </c>
      <c r="AE47" s="18">
        <f t="shared" si="0"/>
        <v>40500</v>
      </c>
      <c r="AF47" s="25">
        <f t="shared" si="1"/>
        <v>1</v>
      </c>
      <c r="AG47" s="26"/>
      <c r="AI47" s="2">
        <f>43335-(43335*7/107)</f>
        <v>40500</v>
      </c>
    </row>
    <row r="48" spans="1:37">
      <c r="A48" s="16">
        <v>15</v>
      </c>
      <c r="B48" s="52" t="s">
        <v>613</v>
      </c>
      <c r="C48" s="51">
        <v>30930</v>
      </c>
      <c r="D48" s="19"/>
      <c r="E48" s="19">
        <v>30930</v>
      </c>
      <c r="F48" s="23"/>
      <c r="G48" s="24"/>
      <c r="H48" s="24"/>
      <c r="I48" s="24"/>
      <c r="J48" s="18"/>
      <c r="K48" s="20"/>
      <c r="L48" s="18"/>
      <c r="M48" s="20">
        <v>30930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8">
        <f t="shared" si="2"/>
        <v>30930</v>
      </c>
      <c r="AE48" s="18">
        <f t="shared" si="0"/>
        <v>0</v>
      </c>
      <c r="AF48" s="25">
        <f t="shared" si="1"/>
        <v>0</v>
      </c>
      <c r="AG48" s="26"/>
    </row>
    <row r="49" spans="1:35">
      <c r="A49" s="16">
        <v>16</v>
      </c>
      <c r="B49" s="52"/>
      <c r="C49" s="51"/>
      <c r="D49" s="19"/>
      <c r="E49" s="19"/>
      <c r="F49" s="23"/>
      <c r="G49" s="24"/>
      <c r="H49" s="24"/>
      <c r="I49" s="24"/>
      <c r="J49" s="18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8">
        <f t="shared" si="2"/>
        <v>0</v>
      </c>
      <c r="AE49" s="18">
        <f t="shared" si="0"/>
        <v>0</v>
      </c>
      <c r="AF49" s="25" t="e">
        <f t="shared" si="1"/>
        <v>#DIV/0!</v>
      </c>
      <c r="AG49" s="26"/>
    </row>
    <row r="50" spans="1:35">
      <c r="A50" s="16">
        <v>17</v>
      </c>
      <c r="B50" s="52"/>
      <c r="C50" s="51"/>
      <c r="D50" s="19"/>
      <c r="E50" s="19"/>
      <c r="F50" s="23"/>
      <c r="G50" s="24"/>
      <c r="H50" s="24"/>
      <c r="I50" s="24"/>
      <c r="J50" s="18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8">
        <f t="shared" si="2"/>
        <v>0</v>
      </c>
      <c r="AE50" s="18">
        <f t="shared" si="0"/>
        <v>0</v>
      </c>
      <c r="AF50" s="25" t="e">
        <f t="shared" si="1"/>
        <v>#DIV/0!</v>
      </c>
      <c r="AG50" s="26"/>
    </row>
    <row r="51" spans="1:35">
      <c r="A51" s="16">
        <v>18</v>
      </c>
      <c r="B51" s="52"/>
      <c r="C51" s="51"/>
      <c r="D51" s="19"/>
      <c r="E51" s="19"/>
      <c r="F51" s="23"/>
      <c r="G51" s="24"/>
      <c r="H51" s="24"/>
      <c r="I51" s="24"/>
      <c r="J51" s="18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8">
        <f t="shared" si="2"/>
        <v>0</v>
      </c>
      <c r="AE51" s="18">
        <f t="shared" si="0"/>
        <v>0</v>
      </c>
      <c r="AF51" s="25" t="e">
        <f t="shared" si="1"/>
        <v>#DIV/0!</v>
      </c>
      <c r="AG51" s="26"/>
    </row>
    <row r="52" spans="1:35">
      <c r="A52" s="16">
        <v>19</v>
      </c>
      <c r="B52" s="21"/>
      <c r="C52" s="51"/>
      <c r="D52" s="19"/>
      <c r="E52" s="19"/>
      <c r="F52" s="23"/>
      <c r="G52" s="24"/>
      <c r="H52" s="24"/>
      <c r="I52" s="24"/>
      <c r="J52" s="18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8">
        <f t="shared" si="2"/>
        <v>0</v>
      </c>
      <c r="AE52" s="18">
        <f t="shared" si="0"/>
        <v>0</v>
      </c>
      <c r="AF52" s="25" t="e">
        <f t="shared" si="1"/>
        <v>#DIV/0!</v>
      </c>
      <c r="AG52" s="26"/>
    </row>
    <row r="53" spans="1:35">
      <c r="A53" s="16">
        <v>20</v>
      </c>
      <c r="B53" s="52"/>
      <c r="C53" s="51"/>
      <c r="D53" s="19"/>
      <c r="E53" s="19"/>
      <c r="F53" s="23"/>
      <c r="G53" s="24"/>
      <c r="H53" s="24"/>
      <c r="I53" s="24"/>
      <c r="J53" s="18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8">
        <f t="shared" si="2"/>
        <v>0</v>
      </c>
      <c r="AE53" s="18">
        <f t="shared" si="0"/>
        <v>0</v>
      </c>
      <c r="AF53" s="25" t="e">
        <f t="shared" si="1"/>
        <v>#DIV/0!</v>
      </c>
      <c r="AG53" s="26"/>
    </row>
    <row r="54" spans="1:35">
      <c r="A54" s="16">
        <v>21</v>
      </c>
      <c r="B54" s="21"/>
      <c r="C54" s="51"/>
      <c r="D54" s="19"/>
      <c r="E54" s="19"/>
      <c r="F54" s="23"/>
      <c r="G54" s="24"/>
      <c r="H54" s="24"/>
      <c r="I54" s="24"/>
      <c r="J54" s="18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8">
        <f t="shared" si="2"/>
        <v>0</v>
      </c>
      <c r="AE54" s="18">
        <f t="shared" si="0"/>
        <v>0</v>
      </c>
      <c r="AF54" s="25" t="e">
        <f t="shared" si="1"/>
        <v>#DIV/0!</v>
      </c>
      <c r="AG54" s="26"/>
    </row>
    <row r="55" spans="1:35">
      <c r="A55" s="16">
        <v>22</v>
      </c>
      <c r="B55" s="21"/>
      <c r="C55" s="51"/>
      <c r="D55" s="19"/>
      <c r="E55" s="19"/>
      <c r="F55" s="23"/>
      <c r="G55" s="24"/>
      <c r="H55" s="24"/>
      <c r="I55" s="24"/>
      <c r="J55" s="18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8">
        <f t="shared" si="2"/>
        <v>0</v>
      </c>
      <c r="AE55" s="18">
        <f t="shared" si="0"/>
        <v>0</v>
      </c>
      <c r="AF55" s="25" t="e">
        <f t="shared" si="1"/>
        <v>#DIV/0!</v>
      </c>
      <c r="AG55" s="26"/>
    </row>
    <row r="56" spans="1:35">
      <c r="A56" s="16">
        <v>23</v>
      </c>
      <c r="B56" s="21"/>
      <c r="C56" s="51"/>
      <c r="D56" s="19"/>
      <c r="E56" s="19"/>
      <c r="F56" s="23"/>
      <c r="G56" s="24"/>
      <c r="H56" s="24"/>
      <c r="I56" s="24"/>
      <c r="J56" s="18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8">
        <f t="shared" si="2"/>
        <v>0</v>
      </c>
      <c r="AE56" s="18">
        <f t="shared" si="0"/>
        <v>0</v>
      </c>
      <c r="AF56" s="25" t="e">
        <f t="shared" si="1"/>
        <v>#DIV/0!</v>
      </c>
      <c r="AG56" s="26"/>
    </row>
    <row r="57" spans="1:35">
      <c r="A57" s="16">
        <v>24</v>
      </c>
      <c r="B57" s="21"/>
      <c r="C57" s="51"/>
      <c r="D57" s="19"/>
      <c r="E57" s="19"/>
      <c r="F57" s="23"/>
      <c r="G57" s="24"/>
      <c r="H57" s="24"/>
      <c r="I57" s="24"/>
      <c r="J57" s="18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8">
        <f t="shared" si="2"/>
        <v>0</v>
      </c>
      <c r="AE57" s="18">
        <f t="shared" si="0"/>
        <v>0</v>
      </c>
      <c r="AF57" s="25" t="e">
        <f t="shared" si="1"/>
        <v>#DIV/0!</v>
      </c>
      <c r="AG57" s="26"/>
    </row>
    <row r="58" spans="1:35">
      <c r="A58" s="16">
        <v>25</v>
      </c>
      <c r="B58" s="21"/>
      <c r="C58" s="51"/>
      <c r="D58" s="19"/>
      <c r="E58" s="19"/>
      <c r="F58" s="23"/>
      <c r="G58" s="24"/>
      <c r="H58" s="24"/>
      <c r="I58" s="24"/>
      <c r="J58" s="18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8">
        <f t="shared" si="2"/>
        <v>0</v>
      </c>
      <c r="AE58" s="18">
        <f t="shared" si="0"/>
        <v>0</v>
      </c>
      <c r="AF58" s="25" t="e">
        <f t="shared" si="1"/>
        <v>#DIV/0!</v>
      </c>
      <c r="AG58" s="26"/>
    </row>
    <row r="59" spans="1:35">
      <c r="A59" s="16">
        <v>26</v>
      </c>
      <c r="B59" s="21"/>
      <c r="C59" s="51"/>
      <c r="D59" s="19"/>
      <c r="E59" s="19"/>
      <c r="F59" s="23"/>
      <c r="G59" s="24"/>
      <c r="H59" s="24"/>
      <c r="I59" s="24"/>
      <c r="J59" s="18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8">
        <f t="shared" si="2"/>
        <v>0</v>
      </c>
      <c r="AE59" s="18">
        <f t="shared" si="0"/>
        <v>0</v>
      </c>
      <c r="AF59" s="25" t="e">
        <f t="shared" si="1"/>
        <v>#DIV/0!</v>
      </c>
      <c r="AG59" s="26"/>
      <c r="AI59" s="27"/>
    </row>
    <row r="60" spans="1:35">
      <c r="A60" s="16">
        <v>27</v>
      </c>
      <c r="B60" s="21"/>
      <c r="C60" s="51"/>
      <c r="D60" s="19"/>
      <c r="E60" s="19"/>
      <c r="F60" s="23"/>
      <c r="G60" s="24"/>
      <c r="H60" s="24"/>
      <c r="I60" s="24"/>
      <c r="J60" s="18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18">
        <f t="shared" si="2"/>
        <v>0</v>
      </c>
      <c r="AE60" s="18">
        <f t="shared" si="0"/>
        <v>0</v>
      </c>
      <c r="AF60" s="25" t="e">
        <f t="shared" si="1"/>
        <v>#DIV/0!</v>
      </c>
      <c r="AG60" s="26"/>
      <c r="AI60" s="27"/>
    </row>
    <row r="61" spans="1:35">
      <c r="A61" s="16">
        <v>28</v>
      </c>
      <c r="B61" s="21"/>
      <c r="C61" s="51"/>
      <c r="D61" s="19"/>
      <c r="E61" s="19"/>
      <c r="F61" s="23"/>
      <c r="G61" s="24"/>
      <c r="H61" s="24"/>
      <c r="I61" s="24"/>
      <c r="J61" s="18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18">
        <f t="shared" si="2"/>
        <v>0</v>
      </c>
      <c r="AE61" s="18">
        <f t="shared" si="0"/>
        <v>0</v>
      </c>
      <c r="AF61" s="25" t="e">
        <f t="shared" si="1"/>
        <v>#DIV/0!</v>
      </c>
      <c r="AG61" s="26"/>
    </row>
    <row r="62" spans="1:35">
      <c r="A62" s="16">
        <v>29</v>
      </c>
      <c r="B62" s="21"/>
      <c r="C62" s="51"/>
      <c r="D62" s="19"/>
      <c r="E62" s="19"/>
      <c r="F62" s="23"/>
      <c r="G62" s="24"/>
      <c r="H62" s="24"/>
      <c r="I62" s="24"/>
      <c r="J62" s="18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18">
        <f t="shared" si="2"/>
        <v>0</v>
      </c>
      <c r="AE62" s="18">
        <f t="shared" si="0"/>
        <v>0</v>
      </c>
      <c r="AF62" s="25" t="e">
        <f t="shared" si="1"/>
        <v>#DIV/0!</v>
      </c>
      <c r="AG62" s="26"/>
    </row>
    <row r="63" spans="1:35">
      <c r="A63" s="16">
        <v>30</v>
      </c>
      <c r="B63" s="21"/>
      <c r="C63" s="51"/>
      <c r="D63" s="18"/>
      <c r="E63" s="19"/>
      <c r="F63" s="23"/>
      <c r="G63" s="24"/>
      <c r="H63" s="24"/>
      <c r="I63" s="24"/>
      <c r="J63" s="18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18">
        <f t="shared" si="2"/>
        <v>0</v>
      </c>
      <c r="AE63" s="18">
        <f t="shared" si="0"/>
        <v>0</v>
      </c>
      <c r="AF63" s="25" t="e">
        <f t="shared" si="1"/>
        <v>#DIV/0!</v>
      </c>
      <c r="AG63" s="26"/>
    </row>
    <row r="64" spans="1:35">
      <c r="A64" s="16">
        <v>31</v>
      </c>
      <c r="B64" s="21"/>
      <c r="C64" s="51"/>
      <c r="D64" s="18"/>
      <c r="E64" s="19"/>
      <c r="F64" s="23"/>
      <c r="G64" s="24"/>
      <c r="H64" s="24"/>
      <c r="I64" s="24"/>
      <c r="J64" s="18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18">
        <f t="shared" si="2"/>
        <v>0</v>
      </c>
      <c r="AE64" s="18">
        <f t="shared" si="0"/>
        <v>0</v>
      </c>
      <c r="AF64" s="25" t="e">
        <f t="shared" si="1"/>
        <v>#DIV/0!</v>
      </c>
      <c r="AG64" s="26"/>
    </row>
    <row r="65" spans="1:33">
      <c r="A65" s="16">
        <v>32</v>
      </c>
      <c r="B65" s="21"/>
      <c r="C65" s="51"/>
      <c r="D65" s="18"/>
      <c r="E65" s="19"/>
      <c r="F65" s="23"/>
      <c r="G65" s="24"/>
      <c r="H65" s="24"/>
      <c r="I65" s="24"/>
      <c r="J65" s="18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18">
        <f t="shared" si="2"/>
        <v>0</v>
      </c>
      <c r="AE65" s="18">
        <f t="shared" si="0"/>
        <v>0</v>
      </c>
      <c r="AF65" s="25" t="e">
        <f t="shared" si="1"/>
        <v>#DIV/0!</v>
      </c>
      <c r="AG65" s="26"/>
    </row>
    <row r="66" spans="1:33">
      <c r="A66" s="16">
        <v>33</v>
      </c>
      <c r="B66" s="21"/>
      <c r="C66" s="51"/>
      <c r="D66" s="18"/>
      <c r="E66" s="19"/>
      <c r="F66" s="23"/>
      <c r="G66" s="24"/>
      <c r="H66" s="24"/>
      <c r="I66" s="24"/>
      <c r="J66" s="18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18">
        <f t="shared" si="2"/>
        <v>0</v>
      </c>
      <c r="AE66" s="18">
        <f t="shared" si="0"/>
        <v>0</v>
      </c>
      <c r="AF66" s="25" t="e">
        <f t="shared" si="1"/>
        <v>#DIV/0!</v>
      </c>
      <c r="AG66" s="26"/>
    </row>
    <row r="67" spans="1:33">
      <c r="A67" s="16"/>
      <c r="B67" s="21"/>
      <c r="C67" s="51"/>
      <c r="D67" s="18"/>
      <c r="E67" s="19"/>
      <c r="F67" s="23"/>
      <c r="G67" s="24"/>
      <c r="H67" s="24"/>
      <c r="I67" s="24"/>
      <c r="J67" s="18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18">
        <f t="shared" si="2"/>
        <v>0</v>
      </c>
      <c r="AE67" s="18">
        <f t="shared" si="0"/>
        <v>0</v>
      </c>
      <c r="AF67" s="25" t="e">
        <f t="shared" si="1"/>
        <v>#DIV/0!</v>
      </c>
      <c r="AG67" s="26"/>
    </row>
    <row r="68" spans="1:33">
      <c r="A68" s="16"/>
      <c r="B68" s="21"/>
      <c r="C68" s="51"/>
      <c r="D68" s="18"/>
      <c r="E68" s="19"/>
      <c r="F68" s="23"/>
      <c r="G68" s="24"/>
      <c r="H68" s="24"/>
      <c r="I68" s="24"/>
      <c r="J68" s="18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18">
        <f t="shared" si="2"/>
        <v>0</v>
      </c>
      <c r="AE68" s="18">
        <f t="shared" si="0"/>
        <v>0</v>
      </c>
      <c r="AF68" s="25" t="e">
        <f t="shared" si="1"/>
        <v>#DIV/0!</v>
      </c>
      <c r="AG68" s="26"/>
    </row>
    <row r="69" spans="1:33">
      <c r="A69" s="16"/>
      <c r="B69" s="21"/>
      <c r="C69" s="51"/>
      <c r="D69" s="19"/>
      <c r="E69" s="19"/>
      <c r="F69" s="23"/>
      <c r="G69" s="24"/>
      <c r="H69" s="24"/>
      <c r="I69" s="24"/>
      <c r="J69" s="18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18">
        <f t="shared" si="2"/>
        <v>0</v>
      </c>
      <c r="AE69" s="18">
        <f t="shared" si="0"/>
        <v>0</v>
      </c>
      <c r="AF69" s="25" t="e">
        <f t="shared" si="1"/>
        <v>#DIV/0!</v>
      </c>
      <c r="AG69" s="26"/>
    </row>
    <row r="70" spans="1:33">
      <c r="A70" s="16"/>
      <c r="B70" s="21"/>
      <c r="C70" s="51"/>
      <c r="D70" s="19"/>
      <c r="E70" s="19"/>
      <c r="F70" s="23"/>
      <c r="G70" s="24"/>
      <c r="H70" s="24"/>
      <c r="I70" s="24"/>
      <c r="J70" s="18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18">
        <f t="shared" si="2"/>
        <v>0</v>
      </c>
      <c r="AE70" s="18">
        <f t="shared" si="0"/>
        <v>0</v>
      </c>
      <c r="AF70" s="25" t="e">
        <f t="shared" si="1"/>
        <v>#DIV/0!</v>
      </c>
      <c r="AG70" s="26"/>
    </row>
    <row r="71" spans="1:33">
      <c r="A71" s="16"/>
      <c r="B71" s="21"/>
      <c r="C71" s="51"/>
      <c r="D71" s="19"/>
      <c r="E71" s="19"/>
      <c r="F71" s="23"/>
      <c r="G71" s="24"/>
      <c r="H71" s="24"/>
      <c r="I71" s="24"/>
      <c r="J71" s="18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18">
        <f t="shared" si="2"/>
        <v>0</v>
      </c>
      <c r="AE71" s="18">
        <f t="shared" si="0"/>
        <v>0</v>
      </c>
      <c r="AF71" s="25" t="e">
        <f t="shared" si="1"/>
        <v>#DIV/0!</v>
      </c>
      <c r="AG71" s="26"/>
    </row>
    <row r="72" spans="1:33">
      <c r="A72" s="16"/>
      <c r="B72" s="21"/>
      <c r="C72" s="51"/>
      <c r="D72" s="19"/>
      <c r="E72" s="19"/>
      <c r="F72" s="23"/>
      <c r="G72" s="24"/>
      <c r="H72" s="24"/>
      <c r="I72" s="24"/>
      <c r="J72" s="18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18">
        <f t="shared" si="2"/>
        <v>0</v>
      </c>
      <c r="AE72" s="18">
        <f t="shared" si="0"/>
        <v>0</v>
      </c>
      <c r="AF72" s="25" t="e">
        <f t="shared" si="1"/>
        <v>#DIV/0!</v>
      </c>
      <c r="AG72" s="26"/>
    </row>
    <row r="73" spans="1:33">
      <c r="A73" s="16"/>
      <c r="B73" s="21"/>
      <c r="C73" s="51"/>
      <c r="D73" s="19"/>
      <c r="E73" s="19"/>
      <c r="F73" s="23"/>
      <c r="G73" s="24"/>
      <c r="H73" s="24"/>
      <c r="I73" s="24"/>
      <c r="J73" s="18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18">
        <f t="shared" si="2"/>
        <v>0</v>
      </c>
      <c r="AE73" s="18">
        <f t="shared" si="0"/>
        <v>0</v>
      </c>
      <c r="AF73" s="25" t="e">
        <f t="shared" si="1"/>
        <v>#DIV/0!</v>
      </c>
      <c r="AG73" s="26"/>
    </row>
    <row r="74" spans="1:33">
      <c r="A74" s="16"/>
      <c r="B74" s="21"/>
      <c r="C74" s="51"/>
      <c r="D74" s="19"/>
      <c r="E74" s="19"/>
      <c r="F74" s="23"/>
      <c r="G74" s="24"/>
      <c r="H74" s="24"/>
      <c r="I74" s="24"/>
      <c r="J74" s="18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18">
        <f t="shared" si="2"/>
        <v>0</v>
      </c>
      <c r="AE74" s="18">
        <f t="shared" si="0"/>
        <v>0</v>
      </c>
      <c r="AF74" s="25" t="e">
        <f>AE74/AD74</f>
        <v>#DIV/0!</v>
      </c>
      <c r="AG74" s="26"/>
    </row>
    <row r="75" spans="1:33">
      <c r="A75" s="56"/>
      <c r="B75" s="57" t="s">
        <v>29</v>
      </c>
      <c r="C75" s="58"/>
      <c r="D75" s="59"/>
      <c r="E75" s="59"/>
      <c r="F75" s="60"/>
      <c r="G75" s="61"/>
      <c r="H75" s="61"/>
      <c r="I75" s="61"/>
      <c r="J75" s="59"/>
      <c r="K75" s="62"/>
      <c r="L75" s="5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59">
        <f t="shared" si="2"/>
        <v>0</v>
      </c>
      <c r="AE75" s="59">
        <f t="shared" ref="AE75" si="4">F75+H75+J75</f>
        <v>0</v>
      </c>
      <c r="AF75" s="63" t="e">
        <f t="shared" si="1"/>
        <v>#DIV/0!</v>
      </c>
      <c r="AG75" s="64"/>
    </row>
    <row r="76" spans="1:33">
      <c r="A76" s="16"/>
      <c r="B76" s="17"/>
      <c r="C76" s="51"/>
      <c r="D76" s="18"/>
      <c r="E76" s="18"/>
      <c r="F76" s="65"/>
      <c r="G76" s="24"/>
      <c r="H76" s="24"/>
      <c r="I76" s="24"/>
      <c r="J76" s="18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18"/>
      <c r="AE76" s="18"/>
      <c r="AF76" s="25"/>
      <c r="AG76" s="26"/>
    </row>
    <row r="77" spans="1:33" s="69" customFormat="1">
      <c r="A77" s="66"/>
      <c r="B77" s="66" t="s">
        <v>30</v>
      </c>
      <c r="C77" s="51">
        <f t="shared" ref="C77:AC77" si="5">SUM(C9:C75)</f>
        <v>75520967.519999996</v>
      </c>
      <c r="D77" s="51">
        <f t="shared" si="5"/>
        <v>75358037.519999996</v>
      </c>
      <c r="E77" s="51">
        <f t="shared" si="5"/>
        <v>162930</v>
      </c>
      <c r="F77" s="51">
        <f t="shared" si="5"/>
        <v>10383745.25233645</v>
      </c>
      <c r="G77" s="51">
        <f t="shared" si="5"/>
        <v>0</v>
      </c>
      <c r="H77" s="51">
        <f t="shared" si="5"/>
        <v>3765546.2990654204</v>
      </c>
      <c r="I77" s="51">
        <f t="shared" si="5"/>
        <v>111000</v>
      </c>
      <c r="J77" s="51">
        <f t="shared" si="5"/>
        <v>3025177.5607476635</v>
      </c>
      <c r="K77" s="51">
        <f t="shared" si="5"/>
        <v>0</v>
      </c>
      <c r="L77" s="51">
        <f>SUM(L9:L75)</f>
        <v>2336126.4579439252</v>
      </c>
      <c r="M77" s="51">
        <f t="shared" si="5"/>
        <v>30930</v>
      </c>
      <c r="N77" s="51">
        <f t="shared" si="5"/>
        <v>0</v>
      </c>
      <c r="O77" s="51">
        <f t="shared" si="5"/>
        <v>0</v>
      </c>
      <c r="P77" s="51">
        <f t="shared" si="5"/>
        <v>0</v>
      </c>
      <c r="Q77" s="51">
        <f t="shared" si="5"/>
        <v>0</v>
      </c>
      <c r="R77" s="51">
        <f t="shared" si="5"/>
        <v>0</v>
      </c>
      <c r="S77" s="51">
        <f t="shared" si="5"/>
        <v>0</v>
      </c>
      <c r="T77" s="51">
        <f t="shared" si="5"/>
        <v>0</v>
      </c>
      <c r="U77" s="51">
        <f t="shared" si="5"/>
        <v>0</v>
      </c>
      <c r="V77" s="51">
        <f t="shared" si="5"/>
        <v>0</v>
      </c>
      <c r="W77" s="51">
        <f t="shared" si="5"/>
        <v>0</v>
      </c>
      <c r="X77" s="51">
        <f t="shared" si="5"/>
        <v>0</v>
      </c>
      <c r="Y77" s="51">
        <f t="shared" si="5"/>
        <v>0</v>
      </c>
      <c r="Z77" s="51">
        <f t="shared" si="5"/>
        <v>0</v>
      </c>
      <c r="AA77" s="51">
        <f t="shared" si="5"/>
        <v>0</v>
      </c>
      <c r="AB77" s="51">
        <f t="shared" si="5"/>
        <v>0</v>
      </c>
      <c r="AC77" s="51">
        <f t="shared" si="5"/>
        <v>0</v>
      </c>
      <c r="AD77" s="51">
        <f>SUM(AD9:AD38)</f>
        <v>19401158.046728972</v>
      </c>
      <c r="AE77" s="51">
        <f>SUM(AE9:AE38)</f>
        <v>19401158.046728972</v>
      </c>
      <c r="AF77" s="67">
        <f>AE77/AD77</f>
        <v>1</v>
      </c>
      <c r="AG77" s="68"/>
    </row>
    <row r="78" spans="1:33" s="69" customFormat="1">
      <c r="A78" s="277"/>
      <c r="B78" s="277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68"/>
      <c r="AG78" s="68"/>
    </row>
    <row r="79" spans="1:33">
      <c r="A79" s="71"/>
      <c r="B79" s="2" t="s">
        <v>31</v>
      </c>
      <c r="C79" s="2"/>
      <c r="D79" s="72">
        <f>D77</f>
        <v>75358037.519999996</v>
      </c>
      <c r="E79" s="7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2"/>
      <c r="AE79" s="2"/>
    </row>
    <row r="80" spans="1:33" ht="19.5" thickBot="1">
      <c r="B80" s="69" t="s">
        <v>32</v>
      </c>
      <c r="C80" s="2"/>
      <c r="D80" s="76">
        <f>SUM(D79*0.3)</f>
        <v>22607411.255999997</v>
      </c>
      <c r="E80" s="77"/>
      <c r="AD80" s="69"/>
      <c r="AE80" s="2"/>
    </row>
    <row r="81" spans="1:62" ht="19.5" thickTop="1">
      <c r="C81" s="2"/>
      <c r="D81" s="2"/>
      <c r="E81" s="78"/>
      <c r="AD81" s="2"/>
      <c r="AE81" s="2"/>
      <c r="AF81" s="79"/>
      <c r="AG81" s="79"/>
    </row>
    <row r="82" spans="1:62">
      <c r="B82" s="2" t="s">
        <v>612</v>
      </c>
      <c r="C82" s="2"/>
      <c r="D82" s="77">
        <f>SUM(AE77)</f>
        <v>19401158.046728972</v>
      </c>
      <c r="E82" s="79"/>
      <c r="L82" s="51"/>
    </row>
    <row r="83" spans="1:62">
      <c r="B83" s="69" t="s">
        <v>33</v>
      </c>
      <c r="D83" s="80">
        <f>SUM(D82/D79)</f>
        <v>0.2574530691776562</v>
      </c>
    </row>
    <row r="85" spans="1:62" s="74" customFormat="1">
      <c r="A85" s="2"/>
      <c r="B85" s="2" t="s">
        <v>34</v>
      </c>
      <c r="C85" s="2"/>
      <c r="D85" s="78">
        <f>D82-D80</f>
        <v>-3206253.2092710249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8" spans="1:62" s="74" customFormat="1">
      <c r="A88" s="2"/>
      <c r="B88" s="2"/>
      <c r="C88" s="8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D888-27A2-4B47-8652-05F1D93E9356}">
  <sheetPr>
    <tabColor rgb="FFFF0000"/>
  </sheetPr>
  <dimension ref="A2:N48"/>
  <sheetViews>
    <sheetView topLeftCell="A16" zoomScale="70" zoomScaleNormal="70" workbookViewId="0">
      <selection activeCell="L52" sqref="L52"/>
    </sheetView>
  </sheetViews>
  <sheetFormatPr defaultColWidth="9.125" defaultRowHeight="21"/>
  <cols>
    <col min="1" max="1" width="6.875" style="121" bestFit="1" customWidth="1"/>
    <col min="2" max="2" width="50.125" style="83" customWidth="1"/>
    <col min="3" max="3" width="14.375" style="123" customWidth="1"/>
    <col min="4" max="4" width="15.75" style="123" customWidth="1"/>
    <col min="5" max="5" width="13.125" style="83" customWidth="1"/>
    <col min="6" max="6" width="26.375" style="83" customWidth="1"/>
    <col min="7" max="7" width="15.125" style="123" customWidth="1"/>
    <col min="8" max="8" width="20.375" style="124" customWidth="1"/>
    <col min="9" max="9" width="18.625" style="125" customWidth="1"/>
    <col min="10" max="10" width="21" style="83" customWidth="1"/>
    <col min="11" max="11" width="28.25" style="83" customWidth="1"/>
    <col min="12" max="12" width="24.375" style="83" customWidth="1"/>
    <col min="13" max="13" width="12" style="83" customWidth="1"/>
    <col min="14" max="14" width="13.25" style="83" customWidth="1"/>
    <col min="15" max="16384" width="9.125" style="83"/>
  </cols>
  <sheetData>
    <row r="2" spans="1:14">
      <c r="A2" s="433" t="s">
        <v>574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280" t="s">
        <v>35</v>
      </c>
    </row>
    <row r="3" spans="1:1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4">
      <c r="A4" s="433" t="s">
        <v>575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4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>
      <c r="A6" s="434" t="s">
        <v>36</v>
      </c>
      <c r="B6" s="434" t="s">
        <v>37</v>
      </c>
      <c r="C6" s="84" t="s">
        <v>38</v>
      </c>
      <c r="D6" s="85" t="s">
        <v>39</v>
      </c>
      <c r="E6" s="434" t="s">
        <v>40</v>
      </c>
      <c r="F6" s="434" t="s">
        <v>41</v>
      </c>
      <c r="G6" s="434"/>
      <c r="H6" s="435" t="s">
        <v>42</v>
      </c>
      <c r="I6" s="435"/>
      <c r="J6" s="436" t="s">
        <v>43</v>
      </c>
      <c r="K6" s="436" t="s">
        <v>44</v>
      </c>
      <c r="L6" s="430" t="s">
        <v>45</v>
      </c>
      <c r="M6" s="431" t="s">
        <v>46</v>
      </c>
      <c r="N6" s="432"/>
    </row>
    <row r="7" spans="1:14" ht="63">
      <c r="A7" s="366"/>
      <c r="B7" s="366"/>
      <c r="C7" s="86" t="s">
        <v>47</v>
      </c>
      <c r="D7" s="87" t="s">
        <v>48</v>
      </c>
      <c r="E7" s="366"/>
      <c r="F7" s="265" t="s">
        <v>49</v>
      </c>
      <c r="G7" s="266" t="s">
        <v>50</v>
      </c>
      <c r="H7" s="275" t="s">
        <v>51</v>
      </c>
      <c r="I7" s="270" t="s">
        <v>52</v>
      </c>
      <c r="J7" s="434"/>
      <c r="K7" s="434"/>
      <c r="L7" s="437"/>
      <c r="M7" s="276" t="s">
        <v>53</v>
      </c>
      <c r="N7" s="269" t="s">
        <v>54</v>
      </c>
    </row>
    <row r="8" spans="1:14">
      <c r="A8" s="364">
        <v>1</v>
      </c>
      <c r="B8" s="94" t="s">
        <v>67</v>
      </c>
      <c r="C8" s="342">
        <v>460000</v>
      </c>
      <c r="D8" s="342">
        <v>484546</v>
      </c>
      <c r="E8" s="364" t="s">
        <v>56</v>
      </c>
      <c r="F8" s="366" t="s">
        <v>200</v>
      </c>
      <c r="G8" s="327">
        <v>475111</v>
      </c>
      <c r="H8" s="324" t="s">
        <v>200</v>
      </c>
      <c r="I8" s="391">
        <v>475111</v>
      </c>
      <c r="J8" s="265"/>
      <c r="K8" s="265"/>
      <c r="L8" s="330" t="s">
        <v>159</v>
      </c>
      <c r="M8" s="333" t="s">
        <v>59</v>
      </c>
      <c r="N8" s="345"/>
    </row>
    <row r="9" spans="1:14">
      <c r="A9" s="360"/>
      <c r="B9" s="97" t="s">
        <v>160</v>
      </c>
      <c r="C9" s="343"/>
      <c r="D9" s="343"/>
      <c r="E9" s="360"/>
      <c r="F9" s="367"/>
      <c r="G9" s="328"/>
      <c r="H9" s="325"/>
      <c r="I9" s="392"/>
      <c r="J9" s="263" t="s">
        <v>71</v>
      </c>
      <c r="K9" s="100" t="s">
        <v>576</v>
      </c>
      <c r="L9" s="331"/>
      <c r="M9" s="334"/>
      <c r="N9" s="346"/>
    </row>
    <row r="10" spans="1:14">
      <c r="A10" s="360"/>
      <c r="B10" s="97" t="s">
        <v>577</v>
      </c>
      <c r="C10" s="343"/>
      <c r="D10" s="343"/>
      <c r="E10" s="360"/>
      <c r="F10" s="367"/>
      <c r="G10" s="328"/>
      <c r="H10" s="325"/>
      <c r="I10" s="392"/>
      <c r="J10" s="263" t="s">
        <v>65</v>
      </c>
      <c r="K10" s="97" t="s">
        <v>578</v>
      </c>
      <c r="L10" s="331"/>
      <c r="M10" s="334"/>
      <c r="N10" s="346"/>
    </row>
    <row r="11" spans="1:14">
      <c r="A11" s="361"/>
      <c r="B11" s="267"/>
      <c r="C11" s="344"/>
      <c r="D11" s="344"/>
      <c r="E11" s="361"/>
      <c r="F11" s="368"/>
      <c r="G11" s="329"/>
      <c r="H11" s="326"/>
      <c r="I11" s="393"/>
      <c r="J11" s="267"/>
      <c r="K11" s="267"/>
      <c r="L11" s="332"/>
      <c r="M11" s="335"/>
      <c r="N11" s="347"/>
    </row>
    <row r="12" spans="1:14">
      <c r="A12" s="364">
        <v>2</v>
      </c>
      <c r="B12" s="94" t="s">
        <v>579</v>
      </c>
      <c r="C12" s="353">
        <v>1896</v>
      </c>
      <c r="D12" s="343">
        <v>2028.72</v>
      </c>
      <c r="E12" s="364" t="s">
        <v>56</v>
      </c>
      <c r="F12" s="265" t="s">
        <v>76</v>
      </c>
      <c r="G12" s="266">
        <v>2028.72</v>
      </c>
      <c r="H12" s="388" t="s">
        <v>76</v>
      </c>
      <c r="I12" s="391">
        <v>2028.72</v>
      </c>
      <c r="J12" s="265"/>
      <c r="K12" s="265"/>
      <c r="L12" s="330" t="s">
        <v>617</v>
      </c>
      <c r="M12" s="333" t="s">
        <v>59</v>
      </c>
      <c r="N12" s="333"/>
    </row>
    <row r="13" spans="1:14">
      <c r="A13" s="360"/>
      <c r="B13" s="97" t="s">
        <v>580</v>
      </c>
      <c r="C13" s="353"/>
      <c r="D13" s="343"/>
      <c r="E13" s="360"/>
      <c r="F13" s="263" t="s">
        <v>79</v>
      </c>
      <c r="G13" s="272">
        <v>2182.8000000000002</v>
      </c>
      <c r="H13" s="389"/>
      <c r="I13" s="392"/>
      <c r="J13" s="263" t="s">
        <v>61</v>
      </c>
      <c r="K13" s="100" t="s">
        <v>581</v>
      </c>
      <c r="L13" s="331"/>
      <c r="M13" s="334"/>
      <c r="N13" s="334"/>
    </row>
    <row r="14" spans="1:14">
      <c r="A14" s="360"/>
      <c r="B14" s="97" t="s">
        <v>582</v>
      </c>
      <c r="C14" s="353"/>
      <c r="D14" s="343"/>
      <c r="E14" s="360"/>
      <c r="F14" s="360" t="s">
        <v>82</v>
      </c>
      <c r="G14" s="350">
        <v>2311.1999999999998</v>
      </c>
      <c r="H14" s="389"/>
      <c r="I14" s="392"/>
      <c r="J14" s="263" t="s">
        <v>65</v>
      </c>
      <c r="K14" s="97" t="s">
        <v>583</v>
      </c>
      <c r="L14" s="331"/>
      <c r="M14" s="334"/>
      <c r="N14" s="334"/>
    </row>
    <row r="15" spans="1:14">
      <c r="A15" s="361"/>
      <c r="B15" s="102"/>
      <c r="C15" s="354"/>
      <c r="D15" s="344"/>
      <c r="E15" s="361"/>
      <c r="F15" s="361"/>
      <c r="G15" s="351"/>
      <c r="H15" s="390"/>
      <c r="I15" s="393"/>
      <c r="J15" s="267"/>
      <c r="K15" s="267"/>
      <c r="L15" s="332"/>
      <c r="M15" s="335"/>
      <c r="N15" s="335"/>
    </row>
    <row r="16" spans="1:14">
      <c r="A16" s="364">
        <v>3</v>
      </c>
      <c r="B16" s="97" t="s">
        <v>564</v>
      </c>
      <c r="C16" s="353">
        <v>8637</v>
      </c>
      <c r="D16" s="343">
        <v>9241.59</v>
      </c>
      <c r="E16" s="364" t="s">
        <v>56</v>
      </c>
      <c r="F16" s="265" t="s">
        <v>261</v>
      </c>
      <c r="G16" s="266">
        <v>9241.59</v>
      </c>
      <c r="H16" s="388" t="s">
        <v>261</v>
      </c>
      <c r="I16" s="391">
        <v>9241.59</v>
      </c>
      <c r="J16" s="265"/>
      <c r="K16" s="265"/>
      <c r="L16" s="330" t="s">
        <v>375</v>
      </c>
      <c r="M16" s="333" t="s">
        <v>59</v>
      </c>
      <c r="N16" s="345"/>
    </row>
    <row r="17" spans="1:14">
      <c r="A17" s="360"/>
      <c r="B17" s="97" t="s">
        <v>584</v>
      </c>
      <c r="C17" s="353"/>
      <c r="D17" s="343"/>
      <c r="E17" s="360"/>
      <c r="F17" s="263" t="s">
        <v>570</v>
      </c>
      <c r="G17" s="272">
        <v>10593</v>
      </c>
      <c r="H17" s="389"/>
      <c r="I17" s="392"/>
      <c r="J17" s="263" t="s">
        <v>61</v>
      </c>
      <c r="K17" s="100" t="s">
        <v>585</v>
      </c>
      <c r="L17" s="331"/>
      <c r="M17" s="334"/>
      <c r="N17" s="346"/>
    </row>
    <row r="18" spans="1:14">
      <c r="A18" s="360"/>
      <c r="B18" s="97" t="s">
        <v>586</v>
      </c>
      <c r="C18" s="353"/>
      <c r="D18" s="343"/>
      <c r="E18" s="360"/>
      <c r="F18" s="360" t="s">
        <v>267</v>
      </c>
      <c r="G18" s="350">
        <v>10871.2</v>
      </c>
      <c r="H18" s="389"/>
      <c r="I18" s="392"/>
      <c r="J18" s="263" t="s">
        <v>65</v>
      </c>
      <c r="K18" s="97" t="s">
        <v>587</v>
      </c>
      <c r="L18" s="331"/>
      <c r="M18" s="334"/>
      <c r="N18" s="346"/>
    </row>
    <row r="19" spans="1:14">
      <c r="A19" s="361"/>
      <c r="B19" s="102" t="s">
        <v>588</v>
      </c>
      <c r="C19" s="354"/>
      <c r="D19" s="344"/>
      <c r="E19" s="361"/>
      <c r="F19" s="361"/>
      <c r="G19" s="351"/>
      <c r="H19" s="390"/>
      <c r="I19" s="393"/>
      <c r="J19" s="267"/>
      <c r="K19" s="267"/>
      <c r="L19" s="332"/>
      <c r="M19" s="335"/>
      <c r="N19" s="347"/>
    </row>
    <row r="20" spans="1:14">
      <c r="A20" s="364">
        <v>4</v>
      </c>
      <c r="B20" s="94" t="s">
        <v>589</v>
      </c>
      <c r="C20" s="353">
        <v>40500</v>
      </c>
      <c r="D20" s="343">
        <v>43335</v>
      </c>
      <c r="E20" s="364" t="s">
        <v>56</v>
      </c>
      <c r="F20" s="366" t="s">
        <v>590</v>
      </c>
      <c r="G20" s="327">
        <v>43335</v>
      </c>
      <c r="H20" s="365" t="s">
        <v>590</v>
      </c>
      <c r="I20" s="391">
        <v>43335</v>
      </c>
      <c r="J20" s="265"/>
      <c r="K20" s="265"/>
      <c r="L20" s="330" t="s">
        <v>310</v>
      </c>
      <c r="M20" s="333" t="s">
        <v>59</v>
      </c>
      <c r="N20" s="333"/>
    </row>
    <row r="21" spans="1:14">
      <c r="A21" s="360"/>
      <c r="B21" s="97" t="s">
        <v>591</v>
      </c>
      <c r="C21" s="353"/>
      <c r="D21" s="343"/>
      <c r="E21" s="360"/>
      <c r="F21" s="367"/>
      <c r="G21" s="328"/>
      <c r="H21" s="362"/>
      <c r="I21" s="392"/>
      <c r="J21" s="263" t="s">
        <v>61</v>
      </c>
      <c r="K21" s="100" t="s">
        <v>592</v>
      </c>
      <c r="L21" s="331"/>
      <c r="M21" s="334"/>
      <c r="N21" s="334"/>
    </row>
    <row r="22" spans="1:14">
      <c r="A22" s="360"/>
      <c r="B22" s="97" t="s">
        <v>593</v>
      </c>
      <c r="C22" s="353"/>
      <c r="D22" s="343"/>
      <c r="E22" s="360"/>
      <c r="F22" s="263" t="s">
        <v>594</v>
      </c>
      <c r="G22" s="272">
        <v>52002</v>
      </c>
      <c r="H22" s="362"/>
      <c r="I22" s="392"/>
      <c r="J22" s="263" t="s">
        <v>65</v>
      </c>
      <c r="K22" s="97" t="s">
        <v>595</v>
      </c>
      <c r="L22" s="331"/>
      <c r="M22" s="334"/>
      <c r="N22" s="334"/>
    </row>
    <row r="23" spans="1:14">
      <c r="A23" s="361"/>
      <c r="B23" s="102"/>
      <c r="C23" s="354"/>
      <c r="D23" s="344"/>
      <c r="E23" s="361"/>
      <c r="F23" s="264" t="s">
        <v>316</v>
      </c>
      <c r="G23" s="273">
        <v>60669</v>
      </c>
      <c r="H23" s="363"/>
      <c r="I23" s="393"/>
      <c r="J23" s="267"/>
      <c r="K23" s="267"/>
      <c r="L23" s="332"/>
      <c r="M23" s="335"/>
      <c r="N23" s="335"/>
    </row>
    <row r="24" spans="1:14" ht="33.75" customHeight="1">
      <c r="A24" s="340">
        <v>5</v>
      </c>
      <c r="B24" s="97" t="s">
        <v>596</v>
      </c>
      <c r="C24" s="353">
        <v>30930</v>
      </c>
      <c r="D24" s="343">
        <v>33095.1</v>
      </c>
      <c r="E24" s="340" t="s">
        <v>56</v>
      </c>
      <c r="F24" s="366" t="s">
        <v>597</v>
      </c>
      <c r="G24" s="327" t="s">
        <v>598</v>
      </c>
      <c r="H24" s="370" t="s">
        <v>597</v>
      </c>
      <c r="I24" s="328" t="s">
        <v>598</v>
      </c>
      <c r="J24" s="263"/>
      <c r="K24" s="263"/>
      <c r="L24" s="330" t="s">
        <v>614</v>
      </c>
      <c r="M24" s="333"/>
      <c r="N24" s="333" t="s">
        <v>59</v>
      </c>
    </row>
    <row r="25" spans="1:14" ht="33.75" customHeight="1">
      <c r="A25" s="340"/>
      <c r="B25" s="97" t="s">
        <v>599</v>
      </c>
      <c r="C25" s="353"/>
      <c r="D25" s="343"/>
      <c r="E25" s="340"/>
      <c r="F25" s="367"/>
      <c r="G25" s="328"/>
      <c r="H25" s="370"/>
      <c r="I25" s="328"/>
      <c r="J25" s="263" t="s">
        <v>61</v>
      </c>
      <c r="K25" s="293" t="s">
        <v>600</v>
      </c>
      <c r="L25" s="331"/>
      <c r="M25" s="334"/>
      <c r="N25" s="334"/>
    </row>
    <row r="26" spans="1:14" ht="21" customHeight="1">
      <c r="A26" s="340"/>
      <c r="B26" s="97"/>
      <c r="C26" s="353"/>
      <c r="D26" s="343"/>
      <c r="E26" s="340"/>
      <c r="F26" s="263" t="s">
        <v>601</v>
      </c>
      <c r="G26" s="272">
        <v>41355.5</v>
      </c>
      <c r="H26" s="370"/>
      <c r="I26" s="328"/>
      <c r="J26" s="263" t="s">
        <v>65</v>
      </c>
      <c r="K26" s="97" t="s">
        <v>602</v>
      </c>
      <c r="L26" s="331"/>
      <c r="M26" s="334"/>
      <c r="N26" s="334"/>
    </row>
    <row r="27" spans="1:14" ht="21" customHeight="1">
      <c r="A27" s="341"/>
      <c r="B27" s="102"/>
      <c r="C27" s="354"/>
      <c r="D27" s="344"/>
      <c r="E27" s="341"/>
      <c r="F27" s="271" t="s">
        <v>603</v>
      </c>
      <c r="G27" s="273">
        <v>41890.5</v>
      </c>
      <c r="H27" s="371"/>
      <c r="I27" s="329"/>
      <c r="J27" s="264"/>
      <c r="K27" s="264"/>
      <c r="L27" s="332"/>
      <c r="M27" s="335"/>
      <c r="N27" s="335"/>
    </row>
    <row r="28" spans="1:14" ht="21.75" customHeight="1">
      <c r="A28" s="114"/>
      <c r="B28" s="322" t="s">
        <v>486</v>
      </c>
      <c r="C28" s="322"/>
      <c r="D28" s="322"/>
      <c r="E28" s="322"/>
      <c r="F28" s="322"/>
      <c r="G28" s="322"/>
      <c r="H28" s="323"/>
      <c r="I28" s="115">
        <f>I8+I12+I16+I20+30930</f>
        <v>560646.31000000006</v>
      </c>
      <c r="J28" s="116"/>
      <c r="K28" s="117"/>
      <c r="L28" s="118"/>
      <c r="M28" s="119"/>
      <c r="N28" s="120"/>
    </row>
    <row r="30" spans="1:14">
      <c r="C30" s="122"/>
      <c r="J30" s="125"/>
    </row>
    <row r="31" spans="1:14">
      <c r="J31" s="125"/>
      <c r="K31" s="125"/>
    </row>
    <row r="32" spans="1:14">
      <c r="A32" s="433" t="s">
        <v>604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280" t="s">
        <v>35</v>
      </c>
    </row>
    <row r="33" spans="1:14">
      <c r="A33" s="433" t="s">
        <v>2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</row>
    <row r="34" spans="1:14">
      <c r="A34" s="433" t="s">
        <v>575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</row>
    <row r="36" spans="1:14" ht="42">
      <c r="A36" s="434" t="s">
        <v>36</v>
      </c>
      <c r="B36" s="434" t="s">
        <v>37</v>
      </c>
      <c r="C36" s="84" t="s">
        <v>38</v>
      </c>
      <c r="D36" s="85" t="s">
        <v>39</v>
      </c>
      <c r="E36" s="434" t="s">
        <v>40</v>
      </c>
      <c r="F36" s="434" t="s">
        <v>41</v>
      </c>
      <c r="G36" s="434"/>
      <c r="H36" s="435" t="s">
        <v>42</v>
      </c>
      <c r="I36" s="435"/>
      <c r="J36" s="436" t="s">
        <v>43</v>
      </c>
      <c r="K36" s="436" t="s">
        <v>44</v>
      </c>
      <c r="L36" s="430" t="s">
        <v>45</v>
      </c>
      <c r="M36" s="431" t="s">
        <v>46</v>
      </c>
      <c r="N36" s="432"/>
    </row>
    <row r="37" spans="1:14" ht="63">
      <c r="A37" s="434"/>
      <c r="B37" s="434"/>
      <c r="C37" s="185" t="s">
        <v>47</v>
      </c>
      <c r="D37" s="186" t="s">
        <v>48</v>
      </c>
      <c r="E37" s="434"/>
      <c r="F37" s="281" t="s">
        <v>49</v>
      </c>
      <c r="G37" s="84" t="s">
        <v>50</v>
      </c>
      <c r="H37" s="282" t="s">
        <v>51</v>
      </c>
      <c r="I37" s="189" t="s">
        <v>52</v>
      </c>
      <c r="J37" s="434"/>
      <c r="K37" s="434"/>
      <c r="L37" s="430"/>
      <c r="M37" s="190" t="s">
        <v>53</v>
      </c>
      <c r="N37" s="274" t="s">
        <v>54</v>
      </c>
    </row>
    <row r="38" spans="1:14">
      <c r="A38" s="364">
        <v>1</v>
      </c>
      <c r="B38" s="94" t="s">
        <v>67</v>
      </c>
      <c r="C38" s="342">
        <v>1120000</v>
      </c>
      <c r="D38" s="394">
        <v>1197031</v>
      </c>
      <c r="E38" s="339" t="s">
        <v>186</v>
      </c>
      <c r="F38" s="324" t="s">
        <v>158</v>
      </c>
      <c r="G38" s="327">
        <v>988000</v>
      </c>
      <c r="H38" s="324" t="s">
        <v>158</v>
      </c>
      <c r="I38" s="327">
        <v>987939</v>
      </c>
      <c r="J38" s="262"/>
      <c r="K38" s="262"/>
      <c r="L38" s="330" t="s">
        <v>69</v>
      </c>
      <c r="M38" s="333" t="s">
        <v>59</v>
      </c>
      <c r="N38" s="333"/>
    </row>
    <row r="39" spans="1:14">
      <c r="A39" s="360"/>
      <c r="B39" s="97" t="s">
        <v>281</v>
      </c>
      <c r="C39" s="343"/>
      <c r="D39" s="395"/>
      <c r="E39" s="340"/>
      <c r="F39" s="325"/>
      <c r="G39" s="328"/>
      <c r="H39" s="325"/>
      <c r="I39" s="328"/>
      <c r="J39" s="263" t="s">
        <v>61</v>
      </c>
      <c r="K39" s="100" t="s">
        <v>605</v>
      </c>
      <c r="L39" s="331"/>
      <c r="M39" s="334"/>
      <c r="N39" s="334"/>
    </row>
    <row r="40" spans="1:14">
      <c r="A40" s="360"/>
      <c r="B40" s="97" t="s">
        <v>287</v>
      </c>
      <c r="C40" s="343"/>
      <c r="D40" s="395"/>
      <c r="E40" s="340"/>
      <c r="F40" s="348" t="s">
        <v>278</v>
      </c>
      <c r="G40" s="350">
        <v>1021000</v>
      </c>
      <c r="H40" s="325"/>
      <c r="I40" s="328"/>
      <c r="J40" s="263" t="s">
        <v>65</v>
      </c>
      <c r="K40" s="97" t="s">
        <v>606</v>
      </c>
      <c r="L40" s="331"/>
      <c r="M40" s="334"/>
      <c r="N40" s="334"/>
    </row>
    <row r="41" spans="1:14">
      <c r="A41" s="360"/>
      <c r="B41" s="97" t="s">
        <v>607</v>
      </c>
      <c r="C41" s="343"/>
      <c r="D41" s="395"/>
      <c r="E41" s="340"/>
      <c r="F41" s="349"/>
      <c r="G41" s="351"/>
      <c r="H41" s="326"/>
      <c r="I41" s="329"/>
      <c r="J41" s="263"/>
      <c r="K41" s="97"/>
      <c r="L41" s="332"/>
      <c r="M41" s="335"/>
      <c r="N41" s="335"/>
    </row>
    <row r="42" spans="1:14" ht="21" customHeight="1">
      <c r="A42" s="364">
        <v>2</v>
      </c>
      <c r="B42" s="94" t="s">
        <v>67</v>
      </c>
      <c r="C42" s="342">
        <v>1120000</v>
      </c>
      <c r="D42" s="342">
        <v>1197691</v>
      </c>
      <c r="E42" s="364" t="s">
        <v>186</v>
      </c>
      <c r="F42" s="268" t="s">
        <v>200</v>
      </c>
      <c r="G42" s="266">
        <v>982000</v>
      </c>
      <c r="H42" s="324" t="s">
        <v>200</v>
      </c>
      <c r="I42" s="327">
        <v>982000</v>
      </c>
      <c r="J42" s="141"/>
      <c r="K42" s="142"/>
      <c r="L42" s="330" t="s">
        <v>69</v>
      </c>
      <c r="M42" s="333" t="s">
        <v>59</v>
      </c>
      <c r="N42" s="345"/>
    </row>
    <row r="43" spans="1:14" ht="21" customHeight="1">
      <c r="A43" s="360"/>
      <c r="B43" s="97" t="s">
        <v>281</v>
      </c>
      <c r="C43" s="343"/>
      <c r="D43" s="343"/>
      <c r="E43" s="360"/>
      <c r="F43" s="348" t="s">
        <v>158</v>
      </c>
      <c r="G43" s="350">
        <v>1028000</v>
      </c>
      <c r="H43" s="325"/>
      <c r="I43" s="328"/>
      <c r="J43" s="263" t="s">
        <v>61</v>
      </c>
      <c r="K43" s="100" t="s">
        <v>608</v>
      </c>
      <c r="L43" s="331"/>
      <c r="M43" s="334"/>
      <c r="N43" s="346"/>
    </row>
    <row r="44" spans="1:14" ht="21" customHeight="1">
      <c r="A44" s="360"/>
      <c r="B44" s="97" t="s">
        <v>283</v>
      </c>
      <c r="C44" s="343"/>
      <c r="D44" s="343"/>
      <c r="E44" s="360"/>
      <c r="F44" s="348"/>
      <c r="G44" s="350"/>
      <c r="H44" s="325"/>
      <c r="I44" s="328"/>
      <c r="J44" s="263" t="s">
        <v>65</v>
      </c>
      <c r="K44" s="97" t="s">
        <v>609</v>
      </c>
      <c r="L44" s="331"/>
      <c r="M44" s="334"/>
      <c r="N44" s="346"/>
    </row>
    <row r="45" spans="1:14" ht="21" customHeight="1">
      <c r="A45" s="361"/>
      <c r="B45" s="102" t="s">
        <v>610</v>
      </c>
      <c r="C45" s="344"/>
      <c r="D45" s="344"/>
      <c r="E45" s="361"/>
      <c r="F45" s="271" t="s">
        <v>278</v>
      </c>
      <c r="G45" s="273">
        <v>1080000</v>
      </c>
      <c r="H45" s="326"/>
      <c r="I45" s="329"/>
      <c r="J45" s="145"/>
      <c r="K45" s="146"/>
      <c r="L45" s="331"/>
      <c r="M45" s="334"/>
      <c r="N45" s="346"/>
    </row>
    <row r="46" spans="1:14" ht="21.75" customHeight="1">
      <c r="A46" s="192"/>
      <c r="B46" s="428" t="s">
        <v>493</v>
      </c>
      <c r="C46" s="428"/>
      <c r="D46" s="428"/>
      <c r="E46" s="428"/>
      <c r="F46" s="428"/>
      <c r="G46" s="428"/>
      <c r="H46" s="429"/>
      <c r="I46" s="193">
        <f>SUM(I38:I45)</f>
        <v>1969939</v>
      </c>
      <c r="J46" s="194"/>
      <c r="K46" s="195"/>
      <c r="L46" s="196"/>
      <c r="M46" s="197"/>
      <c r="N46" s="198"/>
    </row>
    <row r="48" spans="1:14">
      <c r="J48" s="125"/>
    </row>
  </sheetData>
  <mergeCells count="105">
    <mergeCell ref="N8:N11"/>
    <mergeCell ref="M8:M11"/>
    <mergeCell ref="L8:L11"/>
    <mergeCell ref="F38:F39"/>
    <mergeCell ref="G38:G39"/>
    <mergeCell ref="F40:F41"/>
    <mergeCell ref="G40:G41"/>
    <mergeCell ref="N20:N23"/>
    <mergeCell ref="N16:N19"/>
    <mergeCell ref="M16:M19"/>
    <mergeCell ref="L16:L19"/>
    <mergeCell ref="L12:L15"/>
    <mergeCell ref="M12:M15"/>
    <mergeCell ref="N12:N15"/>
    <mergeCell ref="H20:H23"/>
    <mergeCell ref="I20:I23"/>
    <mergeCell ref="L20:L23"/>
    <mergeCell ref="M20:M23"/>
    <mergeCell ref="I8:I11"/>
    <mergeCell ref="L38:L41"/>
    <mergeCell ref="M38:M41"/>
    <mergeCell ref="N38:N41"/>
    <mergeCell ref="L24:L27"/>
    <mergeCell ref="M24:M27"/>
    <mergeCell ref="A20:A23"/>
    <mergeCell ref="C20:C23"/>
    <mergeCell ref="D20:D23"/>
    <mergeCell ref="E20:E23"/>
    <mergeCell ref="F20:F21"/>
    <mergeCell ref="G20:G21"/>
    <mergeCell ref="A42:A45"/>
    <mergeCell ref="C42:C45"/>
    <mergeCell ref="D42:D45"/>
    <mergeCell ref="E42:E45"/>
    <mergeCell ref="A38:A41"/>
    <mergeCell ref="C38:C41"/>
    <mergeCell ref="A24:A27"/>
    <mergeCell ref="C24:C27"/>
    <mergeCell ref="N24:N27"/>
    <mergeCell ref="B28:H28"/>
    <mergeCell ref="A32:M32"/>
    <mergeCell ref="A33:M33"/>
    <mergeCell ref="N42:N45"/>
    <mergeCell ref="H42:H45"/>
    <mergeCell ref="I42:I45"/>
    <mergeCell ref="F43:F44"/>
    <mergeCell ref="G43:G44"/>
    <mergeCell ref="H38:H41"/>
    <mergeCell ref="I38:I41"/>
    <mergeCell ref="D38:D41"/>
    <mergeCell ref="E38:E41"/>
    <mergeCell ref="D24:D27"/>
    <mergeCell ref="E24:E27"/>
    <mergeCell ref="H24:H27"/>
    <mergeCell ref="I24:I27"/>
    <mergeCell ref="B46:H46"/>
    <mergeCell ref="A34:M34"/>
    <mergeCell ref="A36:A37"/>
    <mergeCell ref="B36:B37"/>
    <mergeCell ref="E36:E37"/>
    <mergeCell ref="F36:G36"/>
    <mergeCell ref="H36:I36"/>
    <mergeCell ref="J36:J37"/>
    <mergeCell ref="K36:K37"/>
    <mergeCell ref="L36:L37"/>
    <mergeCell ref="M36:N36"/>
    <mergeCell ref="C16:C19"/>
    <mergeCell ref="A12:A15"/>
    <mergeCell ref="C12:C15"/>
    <mergeCell ref="D12:D15"/>
    <mergeCell ref="E12:E15"/>
    <mergeCell ref="H12:H15"/>
    <mergeCell ref="I12:I15"/>
    <mergeCell ref="F14:F15"/>
    <mergeCell ref="G14:G15"/>
    <mergeCell ref="D16:D19"/>
    <mergeCell ref="E16:E19"/>
    <mergeCell ref="H16:H19"/>
    <mergeCell ref="I16:I19"/>
    <mergeCell ref="F18:F19"/>
    <mergeCell ref="G18:G19"/>
    <mergeCell ref="L42:L45"/>
    <mergeCell ref="M42:M45"/>
    <mergeCell ref="F24:F25"/>
    <mergeCell ref="G24:G2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8:A11"/>
    <mergeCell ref="C8:C11"/>
    <mergeCell ref="D8:D11"/>
    <mergeCell ref="E8:E11"/>
    <mergeCell ref="F8:F11"/>
    <mergeCell ref="G8:G11"/>
    <mergeCell ref="H8:H11"/>
    <mergeCell ref="A16:A19"/>
  </mergeCells>
  <printOptions horizontalCentered="1"/>
  <pageMargins left="0" right="0" top="0.74803149606299213" bottom="0.43307086614173229" header="0" footer="0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รวมทุกเดือน งบ68</vt:lpstr>
      <vt:lpstr>smes ต.ค. 68</vt:lpstr>
      <vt:lpstr>แบบ สขร. ต.ค. 68</vt:lpstr>
      <vt:lpstr>smes พ.ย. 68</vt:lpstr>
      <vt:lpstr>แบบ สขร. พ.ย. 68</vt:lpstr>
      <vt:lpstr>smes ธ.ค. 68</vt:lpstr>
      <vt:lpstr>แบบ สขร. ธ.ค. 68 </vt:lpstr>
      <vt:lpstr>smes ม.ค. 69</vt:lpstr>
      <vt:lpstr>แบบ สขร. ม.ค. 69</vt:lpstr>
      <vt:lpstr>smes ก.พ. 69</vt:lpstr>
      <vt:lpstr>แบบ สขร. ก.พ. 69</vt:lpstr>
      <vt:lpstr>รวมทุกเดือน งบ69</vt:lpstr>
      <vt:lpstr>'smes ก.พ. 69'!Print_Area</vt:lpstr>
      <vt:lpstr>'smes ต.ค. 68'!Print_Area</vt:lpstr>
      <vt:lpstr>'smes ธ.ค. 68'!Print_Area</vt:lpstr>
      <vt:lpstr>'smes พ.ย. 68'!Print_Area</vt:lpstr>
      <vt:lpstr>'smes ม.ค. 69'!Print_Area</vt:lpstr>
      <vt:lpstr>'แบบ สขร. ก.พ. 69'!Print_Area</vt:lpstr>
      <vt:lpstr>'แบบ สขร. ต.ค. 68'!Print_Area</vt:lpstr>
      <vt:lpstr>'แบบ สขร. ธ.ค. 68 '!Print_Area</vt:lpstr>
      <vt:lpstr>'แบบ สขร. พ.ย. 68'!Print_Area</vt:lpstr>
      <vt:lpstr>'แบบ สขร. ม.ค. 69'!Print_Area</vt:lpstr>
      <vt:lpstr>'รวมทุกเดือน งบ68'!Print_Area</vt:lpstr>
      <vt:lpstr>'รวมทุกเดือน งบ69'!Print_Area</vt:lpstr>
      <vt:lpstr>'smes ก.พ. 69'!Print_Titles</vt:lpstr>
      <vt:lpstr>'smes ต.ค. 68'!Print_Titles</vt:lpstr>
      <vt:lpstr>'smes ธ.ค. 68'!Print_Titles</vt:lpstr>
      <vt:lpstr>'smes พ.ย. 68'!Print_Titles</vt:lpstr>
      <vt:lpstr>'smes ม.ค.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ชัยเดช ปานโต</cp:lastModifiedBy>
  <cp:lastPrinted>2026-03-02T03:31:10Z</cp:lastPrinted>
  <dcterms:created xsi:type="dcterms:W3CDTF">2025-11-03T07:10:06Z</dcterms:created>
  <dcterms:modified xsi:type="dcterms:W3CDTF">2026-03-02T07:11:25Z</dcterms:modified>
</cp:coreProperties>
</file>